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codeName="DieseArbeitsmappe"/>
  <mc:AlternateContent xmlns:mc="http://schemas.openxmlformats.org/markup-compatibility/2006">
    <mc:Choice Requires="x15">
      <x15ac:absPath xmlns:x15ac="http://schemas.microsoft.com/office/spreadsheetml/2010/11/ac" url="I:\AGS\13 Soziales\13_08 Kinderbetreuung\12 Kinderbetreuungsbeiträge\Beitragsrechner\"/>
    </mc:Choice>
  </mc:AlternateContent>
  <xr:revisionPtr revIDLastSave="0" documentId="8_{FD2F94DF-2BFE-42B1-AFF4-4743392AF800}" xr6:coauthVersionLast="47" xr6:coauthVersionMax="47" xr10:uidLastSave="{00000000-0000-0000-0000-000000000000}"/>
  <workbookProtection workbookAlgorithmName="SHA-512" workbookHashValue="jtt1ktVeI7UDYjN7jfnVvOnL7ZXqX5OQMlHRC+cxLi4aDqqKY6yTX98lFnEJu9b9UJi6ESZFcxn0joJcGMqOfQ==" workbookSaltValue="HTIh9127+LGjON70gnzq2w==" workbookSpinCount="100000" lockStructure="1"/>
  <bookViews>
    <workbookView xWindow="-120" yWindow="-120" windowWidth="51840" windowHeight="21120" xr2:uid="{00000000-000D-0000-FFFF-FFFF00000000}"/>
  </bookViews>
  <sheets>
    <sheet name="Beitragsrechner" sheetId="11" r:id="rId1"/>
    <sheet name="Berechnung Liegenschaftsunterh." sheetId="22" r:id="rId2"/>
    <sheet name="Berechnung Einkommen" sheetId="12" r:id="rId3"/>
    <sheet name="Rechner Kita SE" sheetId="10" state="hidden" r:id="rId4"/>
    <sheet name="Rechner TFO" sheetId="15" state="hidden" r:id="rId5"/>
    <sheet name="Rechner Mittagstisch" sheetId="20" state="hidden" r:id="rId6"/>
    <sheet name="Anpassungen" sheetId="21" state="hidden" r:id="rId7"/>
  </sheets>
  <definedNames>
    <definedName name="_xlnm.Print_Area" localSheetId="3">'Rechner Kita SE'!$A$1:$M$57</definedName>
    <definedName name="_xlnm.Print_Area" localSheetId="5">'Rechner Mittagstisch'!$A$1:$M$52</definedName>
    <definedName name="_xlnm.Print_Area" localSheetId="4">'Rechner TFO'!$A$1:$M$64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22" l="1"/>
  <c r="K25" i="20"/>
  <c r="I25" i="20"/>
  <c r="G25" i="20"/>
  <c r="K32" i="15"/>
  <c r="I32" i="15"/>
  <c r="G32" i="15"/>
  <c r="E32" i="15"/>
  <c r="C32" i="15"/>
  <c r="K30" i="15"/>
  <c r="I30" i="15"/>
  <c r="G30" i="15"/>
  <c r="E30" i="15"/>
  <c r="C30" i="15"/>
  <c r="K31" i="10"/>
  <c r="I31" i="10"/>
  <c r="G31" i="10"/>
  <c r="E12" i="12"/>
  <c r="E21" i="12"/>
  <c r="C16" i="22" l="1"/>
  <c r="J14" i="11" l="1"/>
  <c r="K31" i="15"/>
  <c r="K29" i="15"/>
  <c r="I31" i="15"/>
  <c r="I29" i="15"/>
  <c r="G31" i="15"/>
  <c r="G29" i="15"/>
  <c r="E31" i="15"/>
  <c r="E29" i="15"/>
  <c r="C31" i="15"/>
  <c r="C29" i="15"/>
  <c r="K41" i="15" l="1"/>
  <c r="I41" i="15"/>
  <c r="G41" i="15"/>
  <c r="E41" i="15"/>
  <c r="K20" i="15"/>
  <c r="K38" i="15" s="1"/>
  <c r="K39" i="15" s="1"/>
  <c r="I20" i="15"/>
  <c r="I38" i="15" s="1"/>
  <c r="I39" i="15" s="1"/>
  <c r="I43" i="15" s="1"/>
  <c r="G20" i="15"/>
  <c r="G38" i="15" s="1"/>
  <c r="G39" i="15" s="1"/>
  <c r="E20" i="15"/>
  <c r="K43" i="15" l="1"/>
  <c r="G43" i="15"/>
  <c r="E13" i="12"/>
  <c r="E14" i="10" l="1"/>
  <c r="K22" i="10"/>
  <c r="K23" i="10" s="1"/>
  <c r="I22" i="10"/>
  <c r="I23" i="10" s="1"/>
  <c r="G22" i="10"/>
  <c r="G23" i="10" s="1"/>
  <c r="E22" i="10"/>
  <c r="E23" i="10" s="1"/>
  <c r="C22" i="10"/>
  <c r="AC23" i="11"/>
  <c r="G48" i="20"/>
  <c r="C31" i="20"/>
  <c r="I86" i="11"/>
  <c r="G44" i="20"/>
  <c r="E44" i="20"/>
  <c r="C23" i="15"/>
  <c r="E8" i="12"/>
  <c r="C23" i="10" l="1"/>
  <c r="C40" i="15"/>
  <c r="C21" i="20"/>
  <c r="D84" i="11"/>
  <c r="D82" i="11"/>
  <c r="D80" i="11"/>
  <c r="D78" i="11"/>
  <c r="D76" i="11"/>
  <c r="K31" i="20" l="1"/>
  <c r="E31" i="20"/>
  <c r="K21" i="20"/>
  <c r="K28" i="20" s="1"/>
  <c r="I21" i="20"/>
  <c r="I28" i="20" s="1"/>
  <c r="G21" i="20"/>
  <c r="G28" i="20" s="1"/>
  <c r="E21" i="20"/>
  <c r="C28" i="20"/>
  <c r="AC34" i="11"/>
  <c r="K18" i="20"/>
  <c r="K32" i="20" s="1"/>
  <c r="K33" i="20" s="1"/>
  <c r="G18" i="20"/>
  <c r="I18" i="20"/>
  <c r="I32" i="20" s="1"/>
  <c r="E18" i="20"/>
  <c r="E32" i="20" s="1"/>
  <c r="C18" i="20"/>
  <c r="C32" i="20" s="1"/>
  <c r="C33" i="20" s="1"/>
  <c r="K26" i="15"/>
  <c r="K35" i="15" s="1"/>
  <c r="I26" i="15"/>
  <c r="I35" i="15" s="1"/>
  <c r="E26" i="15"/>
  <c r="E35" i="15" s="1"/>
  <c r="G26" i="15"/>
  <c r="G35" i="15" s="1"/>
  <c r="C26" i="15"/>
  <c r="C35" i="15" s="1"/>
  <c r="C27" i="10"/>
  <c r="C34" i="10" s="1"/>
  <c r="K27" i="10"/>
  <c r="K34" i="10" s="1"/>
  <c r="I27" i="10"/>
  <c r="I34" i="10" s="1"/>
  <c r="G27" i="10"/>
  <c r="G34" i="10" s="1"/>
  <c r="E27" i="10"/>
  <c r="E34" i="10" s="1"/>
  <c r="K24" i="15"/>
  <c r="I24" i="15"/>
  <c r="G24" i="15"/>
  <c r="E24" i="15"/>
  <c r="C24" i="15"/>
  <c r="K23" i="15"/>
  <c r="K40" i="15" s="1"/>
  <c r="K42" i="15" s="1"/>
  <c r="K44" i="15" s="1"/>
  <c r="I23" i="15"/>
  <c r="I40" i="15" s="1"/>
  <c r="I42" i="15" s="1"/>
  <c r="I44" i="15" s="1"/>
  <c r="G23" i="15"/>
  <c r="G40" i="15" s="1"/>
  <c r="G42" i="15" s="1"/>
  <c r="E23" i="15"/>
  <c r="E40" i="15" s="1"/>
  <c r="E42" i="15" s="1"/>
  <c r="K21" i="15"/>
  <c r="K22" i="15" s="1"/>
  <c r="I21" i="15"/>
  <c r="I22" i="15" s="1"/>
  <c r="G21" i="15"/>
  <c r="E21" i="15"/>
  <c r="C21" i="15"/>
  <c r="C22" i="15" s="1"/>
  <c r="C20" i="15"/>
  <c r="K24" i="10"/>
  <c r="I24" i="10"/>
  <c r="G24" i="10"/>
  <c r="E24" i="10"/>
  <c r="C24" i="10"/>
  <c r="E22" i="15" l="1"/>
  <c r="E38" i="15"/>
  <c r="E39" i="15" s="1"/>
  <c r="E43" i="15" s="1"/>
  <c r="E44" i="15" s="1"/>
  <c r="C38" i="15"/>
  <c r="G44" i="15"/>
  <c r="E33" i="20"/>
  <c r="G32" i="20"/>
  <c r="G22" i="15"/>
  <c r="C39" i="15" l="1"/>
  <c r="E20" i="12" l="1"/>
  <c r="E23" i="12" s="1"/>
  <c r="H27" i="12"/>
  <c r="E7" i="12"/>
  <c r="E6" i="12"/>
  <c r="E5" i="12"/>
  <c r="AC62" i="11"/>
  <c r="AC52" i="11"/>
  <c r="AC43" i="11"/>
  <c r="E21" i="10"/>
  <c r="V61" i="11"/>
  <c r="W61" i="11"/>
  <c r="X61" i="11"/>
  <c r="Y61" i="11"/>
  <c r="V62" i="11"/>
  <c r="W62" i="11"/>
  <c r="X62" i="11"/>
  <c r="Y62" i="11"/>
  <c r="V63" i="11"/>
  <c r="W63" i="11"/>
  <c r="X63" i="11"/>
  <c r="Y63" i="11"/>
  <c r="V64" i="11"/>
  <c r="W64" i="11"/>
  <c r="X64" i="11"/>
  <c r="Y64" i="11"/>
  <c r="U62" i="11"/>
  <c r="U63" i="11"/>
  <c r="U64" i="11"/>
  <c r="U61" i="11"/>
  <c r="V52" i="11"/>
  <c r="W52" i="11"/>
  <c r="X52" i="11"/>
  <c r="Y52" i="11"/>
  <c r="V53" i="11"/>
  <c r="W53" i="11"/>
  <c r="X53" i="11"/>
  <c r="Y53" i="11"/>
  <c r="V54" i="11"/>
  <c r="W54" i="11"/>
  <c r="X54" i="11"/>
  <c r="Y54" i="11"/>
  <c r="V55" i="11"/>
  <c r="W55" i="11"/>
  <c r="X55" i="11"/>
  <c r="Y55" i="11"/>
  <c r="U53" i="11"/>
  <c r="U54" i="11"/>
  <c r="U55" i="11"/>
  <c r="U52" i="11"/>
  <c r="V43" i="11"/>
  <c r="W43" i="11"/>
  <c r="X43" i="11"/>
  <c r="Y43" i="11"/>
  <c r="V44" i="11"/>
  <c r="W44" i="11"/>
  <c r="X44" i="11"/>
  <c r="Y44" i="11"/>
  <c r="V45" i="11"/>
  <c r="W45" i="11"/>
  <c r="X45" i="11"/>
  <c r="Y45" i="11"/>
  <c r="V46" i="11"/>
  <c r="W46" i="11"/>
  <c r="X46" i="11"/>
  <c r="Y46" i="11"/>
  <c r="U44" i="11"/>
  <c r="U45" i="11"/>
  <c r="U46" i="11"/>
  <c r="U43" i="11"/>
  <c r="V34" i="11"/>
  <c r="W34" i="11"/>
  <c r="X34" i="11"/>
  <c r="Y34" i="11"/>
  <c r="V35" i="11"/>
  <c r="W35" i="11"/>
  <c r="X35" i="11"/>
  <c r="Y35" i="11"/>
  <c r="V36" i="11"/>
  <c r="W36" i="11"/>
  <c r="X36" i="11"/>
  <c r="Y36" i="11"/>
  <c r="V37" i="11"/>
  <c r="W37" i="11"/>
  <c r="X37" i="11"/>
  <c r="Y37" i="11"/>
  <c r="U35" i="11"/>
  <c r="U36" i="11"/>
  <c r="U37" i="11"/>
  <c r="U34" i="11"/>
  <c r="V24" i="11"/>
  <c r="W24" i="11"/>
  <c r="X24" i="11"/>
  <c r="Y24" i="11"/>
  <c r="V25" i="11"/>
  <c r="W25" i="11"/>
  <c r="X25" i="11"/>
  <c r="Y25" i="11"/>
  <c r="V26" i="11"/>
  <c r="W26" i="11"/>
  <c r="X26" i="11"/>
  <c r="Y26" i="11"/>
  <c r="V27" i="11"/>
  <c r="W27" i="11"/>
  <c r="X27" i="11"/>
  <c r="Y27" i="11"/>
  <c r="U25" i="11"/>
  <c r="U26" i="11"/>
  <c r="U27" i="11"/>
  <c r="U24" i="11"/>
  <c r="X29" i="11" l="1"/>
  <c r="W29" i="11"/>
  <c r="X38" i="11"/>
  <c r="X39" i="11"/>
  <c r="X57" i="11"/>
  <c r="X56" i="11"/>
  <c r="W28" i="11"/>
  <c r="W38" i="11"/>
  <c r="W39" i="11"/>
  <c r="W47" i="11"/>
  <c r="W48" i="11"/>
  <c r="W56" i="11"/>
  <c r="W57" i="11"/>
  <c r="W65" i="11"/>
  <c r="W66" i="11"/>
  <c r="X47" i="11"/>
  <c r="X48" i="11"/>
  <c r="X65" i="11"/>
  <c r="X66" i="11"/>
  <c r="V48" i="11"/>
  <c r="V47" i="11"/>
  <c r="V56" i="11"/>
  <c r="V57" i="11"/>
  <c r="V65" i="11"/>
  <c r="V66" i="11"/>
  <c r="X28" i="11"/>
  <c r="V39" i="11"/>
  <c r="V38" i="11"/>
  <c r="U29" i="11"/>
  <c r="U28" i="11"/>
  <c r="Y28" i="11"/>
  <c r="Y29" i="11"/>
  <c r="U39" i="11"/>
  <c r="U38" i="11"/>
  <c r="Y39" i="11"/>
  <c r="Y38" i="11"/>
  <c r="U48" i="11"/>
  <c r="U47" i="11"/>
  <c r="Y48" i="11"/>
  <c r="Y47" i="11"/>
  <c r="U56" i="11"/>
  <c r="U57" i="11"/>
  <c r="Y57" i="11"/>
  <c r="Y56" i="11"/>
  <c r="U65" i="11"/>
  <c r="U66" i="11"/>
  <c r="Y65" i="11"/>
  <c r="Y66" i="11"/>
  <c r="V28" i="11"/>
  <c r="K21" i="10"/>
  <c r="I21" i="10"/>
  <c r="G21" i="10"/>
  <c r="V29" i="11"/>
  <c r="C21" i="10"/>
  <c r="C37" i="10" s="1"/>
  <c r="AC25" i="11"/>
  <c r="C19" i="20" s="1"/>
  <c r="C24" i="20" s="1"/>
  <c r="C25" i="20" s="1"/>
  <c r="AC45" i="11"/>
  <c r="G19" i="20" s="1"/>
  <c r="G24" i="20" s="1"/>
  <c r="AC36" i="11"/>
  <c r="E19" i="20" s="1"/>
  <c r="E24" i="20" s="1"/>
  <c r="E25" i="20" s="1"/>
  <c r="AC54" i="11"/>
  <c r="I19" i="20" s="1"/>
  <c r="I24" i="20" s="1"/>
  <c r="AC64" i="11"/>
  <c r="K19" i="20" s="1"/>
  <c r="K24" i="20" s="1"/>
  <c r="E37" i="10"/>
  <c r="E41" i="10" s="1"/>
  <c r="C41" i="10" l="1"/>
  <c r="C42" i="10" s="1"/>
  <c r="C38" i="10"/>
  <c r="Z29" i="11"/>
  <c r="AA29" i="11" s="1"/>
  <c r="K37" i="10"/>
  <c r="I37" i="10"/>
  <c r="G37" i="10"/>
  <c r="E38" i="10"/>
  <c r="K38" i="10" l="1"/>
  <c r="K41" i="10"/>
  <c r="K42" i="10" s="1"/>
  <c r="I38" i="10"/>
  <c r="I41" i="10"/>
  <c r="I42" i="10" s="1"/>
  <c r="G38" i="10"/>
  <c r="G41" i="10"/>
  <c r="G42" i="10" s="1"/>
  <c r="E42" i="10"/>
  <c r="Z56" i="11" l="1"/>
  <c r="Z66" i="11"/>
  <c r="AA66" i="11" s="1"/>
  <c r="Z65" i="11"/>
  <c r="Z57" i="11"/>
  <c r="AA57" i="11" s="1"/>
  <c r="Z47" i="11"/>
  <c r="AA47" i="11" s="1"/>
  <c r="Z48" i="11"/>
  <c r="AA48" i="11" s="1"/>
  <c r="G25" i="10" s="1"/>
  <c r="Z38" i="11"/>
  <c r="Z39" i="11"/>
  <c r="AA39" i="11" s="1"/>
  <c r="Z28" i="11"/>
  <c r="AA28" i="11" s="1"/>
  <c r="E14" i="15"/>
  <c r="E12" i="15"/>
  <c r="E11" i="15"/>
  <c r="E10" i="15"/>
  <c r="E9" i="15"/>
  <c r="I47" i="15" l="1"/>
  <c r="I48" i="15" s="1"/>
  <c r="G47" i="15"/>
  <c r="G48" i="15" s="1"/>
  <c r="K47" i="15"/>
  <c r="K48" i="15" s="1"/>
  <c r="E47" i="15"/>
  <c r="E48" i="15" s="1"/>
  <c r="C25" i="10"/>
  <c r="C30" i="10" s="1"/>
  <c r="C31" i="10" s="1"/>
  <c r="AA38" i="11"/>
  <c r="E25" i="10" s="1"/>
  <c r="E30" i="10" s="1"/>
  <c r="E31" i="10" s="1"/>
  <c r="AA56" i="11"/>
  <c r="AA65" i="11"/>
  <c r="G30" i="10"/>
  <c r="G31" i="20"/>
  <c r="G33" i="20" s="1"/>
  <c r="I31" i="20"/>
  <c r="I33" i="20" s="1"/>
  <c r="C11" i="20"/>
  <c r="E28" i="20"/>
  <c r="E36" i="20" s="1"/>
  <c r="K36" i="20" l="1"/>
  <c r="K37" i="20" s="1"/>
  <c r="G36" i="20"/>
  <c r="C36" i="20"/>
  <c r="C37" i="20" s="1"/>
  <c r="I36" i="20"/>
  <c r="K25" i="10"/>
  <c r="K30" i="10" s="1"/>
  <c r="I25" i="10"/>
  <c r="I30" i="10" s="1"/>
  <c r="E37" i="20"/>
  <c r="I37" i="20" l="1"/>
  <c r="G37" i="20"/>
  <c r="C41" i="15" l="1"/>
  <c r="C47" i="15" s="1"/>
  <c r="E9" i="12"/>
  <c r="E15" i="12" s="1"/>
  <c r="E27" i="12" s="1"/>
  <c r="C42" i="15" l="1"/>
  <c r="C48" i="15"/>
  <c r="C43" i="15"/>
  <c r="C44" i="15" l="1"/>
  <c r="F72" i="11"/>
  <c r="G20" i="20"/>
  <c r="G40" i="20" s="1"/>
  <c r="G41" i="20" s="1"/>
  <c r="G45" i="20" s="1"/>
  <c r="I20" i="20"/>
  <c r="I40" i="20" s="1"/>
  <c r="E20" i="20"/>
  <c r="K20" i="20"/>
  <c r="K40" i="20" s="1"/>
  <c r="C20" i="20"/>
  <c r="C40" i="20" s="1"/>
  <c r="G25" i="15"/>
  <c r="G51" i="15" s="1"/>
  <c r="G52" i="15" s="1"/>
  <c r="G56" i="15" s="1"/>
  <c r="E25" i="15"/>
  <c r="E51" i="15" s="1"/>
  <c r="E52" i="15" s="1"/>
  <c r="E56" i="15" s="1"/>
  <c r="K25" i="15"/>
  <c r="K51" i="15" s="1"/>
  <c r="K52" i="15" s="1"/>
  <c r="K56" i="15" s="1"/>
  <c r="C25" i="15"/>
  <c r="C51" i="15" s="1"/>
  <c r="I25" i="15"/>
  <c r="I51" i="15" s="1"/>
  <c r="I52" i="15" s="1"/>
  <c r="I56" i="15" s="1"/>
  <c r="I26" i="10"/>
  <c r="I45" i="10" s="1"/>
  <c r="C26" i="10"/>
  <c r="C45" i="10" s="1"/>
  <c r="G26" i="10"/>
  <c r="E26" i="10"/>
  <c r="E45" i="10" s="1"/>
  <c r="E49" i="10" s="1"/>
  <c r="K26" i="10"/>
  <c r="K45" i="10" s="1"/>
  <c r="C46" i="10" l="1"/>
  <c r="C50" i="10" s="1"/>
  <c r="G55" i="15"/>
  <c r="I55" i="15"/>
  <c r="K55" i="15"/>
  <c r="E55" i="15"/>
  <c r="C41" i="20"/>
  <c r="C45" i="20" s="1"/>
  <c r="C44" i="20"/>
  <c r="K46" i="10"/>
  <c r="K50" i="10" s="1"/>
  <c r="K49" i="10"/>
  <c r="I46" i="10"/>
  <c r="I50" i="10" s="1"/>
  <c r="I49" i="10"/>
  <c r="E46" i="10"/>
  <c r="E50" i="10" s="1"/>
  <c r="C49" i="10"/>
  <c r="K41" i="20"/>
  <c r="K45" i="20" s="1"/>
  <c r="K44" i="20"/>
  <c r="I41" i="20"/>
  <c r="I45" i="20" s="1"/>
  <c r="I44" i="20"/>
  <c r="G46" i="20"/>
  <c r="E40" i="20"/>
  <c r="E41" i="20" s="1"/>
  <c r="E45" i="20" s="1"/>
  <c r="G45" i="10"/>
  <c r="I57" i="15" l="1"/>
  <c r="I58" i="15" s="1"/>
  <c r="I59" i="15" s="1"/>
  <c r="I60" i="15" s="1"/>
  <c r="C55" i="15"/>
  <c r="C52" i="15"/>
  <c r="C56" i="15" s="1"/>
  <c r="K57" i="15"/>
  <c r="K58" i="15" s="1"/>
  <c r="K59" i="15" s="1"/>
  <c r="K60" i="15" s="1"/>
  <c r="E57" i="15"/>
  <c r="E58" i="15" s="1"/>
  <c r="E59" i="15" s="1"/>
  <c r="E60" i="15" s="1"/>
  <c r="G57" i="15"/>
  <c r="G58" i="15" s="1"/>
  <c r="G59" i="15" s="1"/>
  <c r="G60" i="15" s="1"/>
  <c r="K51" i="10"/>
  <c r="I51" i="10"/>
  <c r="G46" i="10"/>
  <c r="G50" i="10" s="1"/>
  <c r="G49" i="10"/>
  <c r="E51" i="10"/>
  <c r="I46" i="20"/>
  <c r="I48" i="20" s="1"/>
  <c r="K46" i="20"/>
  <c r="K48" i="20" s="1"/>
  <c r="G47" i="20"/>
  <c r="E46" i="20"/>
  <c r="E48" i="20" s="1"/>
  <c r="C51" i="10"/>
  <c r="C57" i="15" l="1"/>
  <c r="C58" i="15" s="1"/>
  <c r="C59" i="15" s="1"/>
  <c r="C60" i="15" s="1"/>
  <c r="K53" i="10"/>
  <c r="K84" i="11" s="1"/>
  <c r="F84" i="11"/>
  <c r="I53" i="10"/>
  <c r="K82" i="11" s="1"/>
  <c r="F82" i="11"/>
  <c r="E53" i="10"/>
  <c r="K78" i="11" s="1"/>
  <c r="F78" i="11"/>
  <c r="C53" i="10"/>
  <c r="G51" i="10"/>
  <c r="K47" i="20"/>
  <c r="I47" i="20"/>
  <c r="E47" i="20"/>
  <c r="I52" i="10"/>
  <c r="F76" i="11" l="1"/>
  <c r="H82" i="11"/>
  <c r="G52" i="10"/>
  <c r="H80" i="11" s="1"/>
  <c r="F80" i="11"/>
  <c r="G53" i="10"/>
  <c r="K80" i="11" s="1"/>
  <c r="C52" i="10"/>
  <c r="K52" i="10"/>
  <c r="H84" i="11" s="1"/>
  <c r="E52" i="10"/>
  <c r="H78" i="11" s="1"/>
  <c r="F86" i="11" l="1"/>
  <c r="C48" i="20"/>
  <c r="K76" i="11" s="1"/>
  <c r="K86" i="11" s="1"/>
  <c r="C46" i="20"/>
  <c r="C47" i="20" s="1"/>
  <c r="H76" i="11" s="1"/>
  <c r="H86" i="11" s="1"/>
</calcChain>
</file>

<file path=xl/sharedStrings.xml><?xml version="1.0" encoding="utf-8"?>
<sst xmlns="http://schemas.openxmlformats.org/spreadsheetml/2006/main" count="532" uniqueCount="204">
  <si>
    <t>Beitragsrechner</t>
  </si>
  <si>
    <t xml:space="preserve">Dieser Beitragsrechner ist nicht für die endgültige Abwicklung und Berechnung des familienergänzenden Kinderbetreuungsbeitrags vorgesehen. Er dient lediglich als Berechnungshilfe für eine erste Einschätzung, wie viel Betreuungsbeiträge einer Familie ungefähr zustehen. Um ein Gesuch für Kinderbetreuungsbeiträge bei Ihrer Wohngemeinde zu stellen, muss dies über die Applikation kiBon stattfinden. </t>
  </si>
  <si>
    <t>Hier geht es zur Webseite von kiBon</t>
  </si>
  <si>
    <r>
      <t xml:space="preserve">Für die Berechnung müssen alle </t>
    </r>
    <r>
      <rPr>
        <u/>
        <sz val="11"/>
        <color theme="1"/>
        <rFont val="TradeGothic"/>
        <family val="2"/>
      </rPr>
      <t>gelben</t>
    </r>
    <r>
      <rPr>
        <sz val="11"/>
        <color theme="1"/>
        <rFont val="TradeGothic"/>
        <family val="2"/>
      </rPr>
      <t xml:space="preserve"> Felder ausgefüllt sein. Füllen Sie dann die Felder im Bereich Haushalt und danach die Felder im Bereich Kinder aus. Für zusätzliche Informationen zu den Feldern Einkommen und Vermögen klicken Sie in das gelbe Eingabefeld.</t>
    </r>
  </si>
  <si>
    <t>Haushalt</t>
  </si>
  <si>
    <t>Sind sie quellenbesteuert?</t>
  </si>
  <si>
    <t>Auswahl treffen</t>
  </si>
  <si>
    <t>Einkäufe berufliche Vorsorge</t>
  </si>
  <si>
    <t>Bruttoeinkommen</t>
  </si>
  <si>
    <t>Abzüge ausserordentlicher Liegenschaftsaufwand</t>
  </si>
  <si>
    <t>(gemäss Berechnung Liegenschaftsunterhalt)</t>
  </si>
  <si>
    <t>Reineinkommen direkte Bundessteuer</t>
  </si>
  <si>
    <t>Reinvermögen</t>
  </si>
  <si>
    <t>Anzahl Kinder unter 18 Jahre alt</t>
  </si>
  <si>
    <t>davon betreut</t>
  </si>
  <si>
    <t>Kind</t>
  </si>
  <si>
    <t>Kind 1</t>
  </si>
  <si>
    <t>Betreuungsart auswählen</t>
  </si>
  <si>
    <t>Geburtsdatum (dd.mm.yyyy)</t>
  </si>
  <si>
    <r>
      <t xml:space="preserve">Zu welchen Zeiten wird Ihr Kind betreut? </t>
    </r>
    <r>
      <rPr>
        <i/>
        <sz val="10"/>
        <color theme="1"/>
        <rFont val="TradeGothic"/>
        <family val="2"/>
      </rPr>
      <t>Bitte setzen Sie ein "x"</t>
    </r>
    <r>
      <rPr>
        <sz val="10"/>
        <color theme="1"/>
        <rFont val="TradeGothic"/>
        <family val="2"/>
      </rPr>
      <t>.</t>
    </r>
  </si>
  <si>
    <t>Montag</t>
  </si>
  <si>
    <t>Dienstag</t>
  </si>
  <si>
    <t>Mittwoch</t>
  </si>
  <si>
    <t>Donnerstag</t>
  </si>
  <si>
    <t>Freitag</t>
  </si>
  <si>
    <t>Alter in Monaten</t>
  </si>
  <si>
    <t>Findet die Betreuung während der Schulzeit statt?</t>
  </si>
  <si>
    <t>Ist Ihr Kind eingeschult?</t>
  </si>
  <si>
    <t>Ja</t>
  </si>
  <si>
    <t>Mittagstische</t>
  </si>
  <si>
    <t>Morgen</t>
  </si>
  <si>
    <t>Tagestarif</t>
  </si>
  <si>
    <t>Wie lange wird Ihr Kind pro Woche betreut?</t>
  </si>
  <si>
    <t>Mittagstisch</t>
  </si>
  <si>
    <t>Stunden</t>
  </si>
  <si>
    <t>Tage</t>
  </si>
  <si>
    <t>Stundentarif</t>
  </si>
  <si>
    <t>Anzahl Betreuungsstunden</t>
  </si>
  <si>
    <t>Nachmittag</t>
  </si>
  <si>
    <t>FEB</t>
  </si>
  <si>
    <t>Tarif Mittagstisch</t>
  </si>
  <si>
    <t>Anzahl Betreuungstage</t>
  </si>
  <si>
    <t>Spät. Nachmittag</t>
  </si>
  <si>
    <t>x</t>
  </si>
  <si>
    <t>SEB</t>
  </si>
  <si>
    <t>Kind 2</t>
  </si>
  <si>
    <t>Kindertagesstätte (Kita)</t>
  </si>
  <si>
    <t>Kind 3</t>
  </si>
  <si>
    <t>Kind 4</t>
  </si>
  <si>
    <t>Kind 5</t>
  </si>
  <si>
    <t>Provisorische Berechnung für einen allfälligen Betreuungsbeitrag</t>
  </si>
  <si>
    <t>Anspruchberechtigtes Einkommen</t>
  </si>
  <si>
    <t>Betreuungsart</t>
  </si>
  <si>
    <t>Betreuungsbeitrag pro Tag</t>
  </si>
  <si>
    <t>Betreuungsbeitrag pro Monat</t>
  </si>
  <si>
    <t>Kosten für Erziehungsberechtigte pro Monat</t>
  </si>
  <si>
    <t>Total</t>
  </si>
  <si>
    <t>Wenn das anspruchsberechtigte Einkommen die Obergrenze von Fr. 153'215.- nicht überschreitet, besteht die Möglichkeit Kinderbetreuungsbeiträge für die familienergänzende Kinderbetreuung zu erhalten.</t>
  </si>
  <si>
    <t>Die definitive Höhe der Betreuungsbeiträge kann von der Berechnung des Beitragrechners abweichen, da nicht alle Faktoren miteinbezogen werden können, welche möglicherweise Einfluss auf die Berechnung haben. Alle Angaben sind ohne Gewähr.</t>
  </si>
  <si>
    <t xml:space="preserve">Ein Gesuch für familienergänzende Kinderbetreuungsbeiträge können Sie über die IT-Applikation kiBon stellen. </t>
  </si>
  <si>
    <t>Der Liegenschaftsunterhalt, welcher den Pauschalabzug übersteigt, muss zu dem Reineinkommen dazugerechnet werden.</t>
  </si>
  <si>
    <t>Berechnung:</t>
  </si>
  <si>
    <r>
      <t xml:space="preserve">Total aller Liegenschafterträge (Code 530, 532, 533, 536) x 20 % = </t>
    </r>
    <r>
      <rPr>
        <b/>
        <sz val="10"/>
        <color theme="1"/>
        <rFont val="TradeGothic"/>
        <family val="2"/>
      </rPr>
      <t>Pauschalabzug</t>
    </r>
  </si>
  <si>
    <t>Bei den Liegenschaftserträgen sind sämtliche Erträge zu berücksichtigen, die in der Steuerveranlagung aufgeführt sind (Codes 530, 532, 533, 536). Es ist jedoch möglich, dass nicht alle dieser Codes bei Ihnen vorkommen.</t>
  </si>
  <si>
    <t>Wenn der Pauschalabzug tiefer ist als die Liegenschaftsunterhaltskosten (Code 602) muss die Differenz zum Reineinkommen dazugerechnet werden.</t>
  </si>
  <si>
    <r>
      <t xml:space="preserve">Total Liegenschaftserträge (Code </t>
    </r>
    <r>
      <rPr>
        <b/>
        <sz val="10"/>
        <color theme="1"/>
        <rFont val="TradeGothic"/>
        <family val="2"/>
      </rPr>
      <t>530</t>
    </r>
    <r>
      <rPr>
        <sz val="10"/>
        <color theme="1"/>
        <rFont val="TradeGothic"/>
        <family val="2"/>
      </rPr>
      <t xml:space="preserve"> und/oder </t>
    </r>
    <r>
      <rPr>
        <b/>
        <sz val="10"/>
        <color theme="1"/>
        <rFont val="TradeGothic"/>
        <family val="2"/>
      </rPr>
      <t>532</t>
    </r>
    <r>
      <rPr>
        <sz val="10"/>
        <color theme="1"/>
        <rFont val="TradeGothic"/>
        <family val="2"/>
      </rPr>
      <t xml:space="preserve"> und/oder </t>
    </r>
    <r>
      <rPr>
        <b/>
        <sz val="10"/>
        <color theme="1"/>
        <rFont val="TradeGothic"/>
        <family val="2"/>
      </rPr>
      <t>533</t>
    </r>
    <r>
      <rPr>
        <sz val="10"/>
        <color theme="1"/>
        <rFont val="TradeGothic"/>
        <family val="2"/>
      </rPr>
      <t xml:space="preserve"> und/oder </t>
    </r>
    <r>
      <rPr>
        <b/>
        <sz val="10"/>
        <color theme="1"/>
        <rFont val="TradeGothic"/>
        <family val="2"/>
      </rPr>
      <t>536</t>
    </r>
    <r>
      <rPr>
        <sz val="10"/>
        <color theme="1"/>
        <rFont val="TradeGothic"/>
        <family val="2"/>
      </rPr>
      <t>)</t>
    </r>
  </si>
  <si>
    <t>Pauschalabzug</t>
  </si>
  <si>
    <r>
      <t xml:space="preserve">Liegenschaftsunterhaltskosten (Code </t>
    </r>
    <r>
      <rPr>
        <b/>
        <sz val="10"/>
        <color theme="1"/>
        <rFont val="TradeGothic"/>
        <family val="2"/>
      </rPr>
      <t>602</t>
    </r>
    <r>
      <rPr>
        <sz val="10"/>
        <color theme="1"/>
        <rFont val="TradeGothic"/>
        <family val="2"/>
      </rPr>
      <t>)</t>
    </r>
  </si>
  <si>
    <t>zum Reineinkommen dazurechnen</t>
  </si>
  <si>
    <t xml:space="preserve">Berechnung für nicht an der Quelle Besteuerte </t>
  </si>
  <si>
    <t>Einkommen</t>
  </si>
  <si>
    <t>Reineinkommen</t>
  </si>
  <si>
    <t>Einkaufe berufliche Vorsorge</t>
  </si>
  <si>
    <t>ausserordentliche Liegenschaftsaufwand</t>
  </si>
  <si>
    <r>
      <rPr>
        <b/>
        <sz val="10"/>
        <color theme="1"/>
        <rFont val="TradeGothic"/>
        <family val="2"/>
      </rPr>
      <t>10% des Reinvermögen</t>
    </r>
    <r>
      <rPr>
        <sz val="10"/>
        <color theme="1"/>
        <rFont val="TradeGothic"/>
        <family val="2"/>
      </rPr>
      <t xml:space="preserve"> nach Abzug vom Freibetrag </t>
    </r>
  </si>
  <si>
    <t>Total Einkommen</t>
  </si>
  <si>
    <t xml:space="preserve">Abzüge </t>
  </si>
  <si>
    <t>Sozialabzüge von 6'800. pro Kind</t>
  </si>
  <si>
    <t>Sozialabzug angepasst</t>
  </si>
  <si>
    <t>Total Abzüge</t>
  </si>
  <si>
    <t>Total anspruchsberechtigtes Einkommen</t>
  </si>
  <si>
    <t>Berechnung für an der Quelle Besteuerte</t>
  </si>
  <si>
    <t>Massgebendes Einkommen</t>
  </si>
  <si>
    <t>BG Rechner Kanton Schwyz</t>
  </si>
  <si>
    <t>Parameter</t>
  </si>
  <si>
    <t>Bemerkung</t>
  </si>
  <si>
    <t>Untergrenze (maximaler BG)</t>
  </si>
  <si>
    <t>CHF</t>
  </si>
  <si>
    <t>Obergrenze</t>
  </si>
  <si>
    <t>Normkosten Kita</t>
  </si>
  <si>
    <t>Kinder von 3 bis 18 Monaten (Babytarif)</t>
  </si>
  <si>
    <t>Kinder ab 19 Monaten bis Primarstufeneintritt</t>
  </si>
  <si>
    <t>Kinder ab Primarstufeneintritt - während der Schulzeit</t>
  </si>
  <si>
    <t>Kinder ab Primarstufeneintritt - während der schulfreien Zeit</t>
  </si>
  <si>
    <t>Minimaltarif (Minimaler Elternbeitrag)</t>
  </si>
  <si>
    <t>Eingabefelder</t>
  </si>
  <si>
    <t xml:space="preserve">Kind </t>
  </si>
  <si>
    <t>Info</t>
  </si>
  <si>
    <t xml:space="preserve">Berechnung Eingaben </t>
  </si>
  <si>
    <t>Einheit</t>
  </si>
  <si>
    <t xml:space="preserve">Ist das Kind im Baby Tarif </t>
  </si>
  <si>
    <t>WAHR wenn das Kind zwischen 3 und 18 Monate alt ist</t>
  </si>
  <si>
    <t>Ist das Kind eingeschult</t>
  </si>
  <si>
    <t>WAHR wenn das Kind eingeschult ist</t>
  </si>
  <si>
    <t>Findet die Betreuung während der Schulzeit statt</t>
  </si>
  <si>
    <t>WAHR wenn das Kind eingeschult ist und während der Schulzeitbetreuut wird</t>
  </si>
  <si>
    <r>
      <rPr>
        <b/>
        <i/>
        <sz val="10"/>
        <color theme="1"/>
        <rFont val="Arial"/>
        <family val="2"/>
      </rPr>
      <t>Tagestarif</t>
    </r>
    <r>
      <rPr>
        <i/>
        <sz val="10"/>
        <color theme="1"/>
        <rFont val="Arial"/>
        <family val="2"/>
      </rPr>
      <t xml:space="preserve"> </t>
    </r>
  </si>
  <si>
    <r>
      <t xml:space="preserve">Anspruchsberechtigtes </t>
    </r>
    <r>
      <rPr>
        <b/>
        <i/>
        <sz val="10"/>
        <color theme="1"/>
        <rFont val="Arial"/>
        <family val="2"/>
      </rPr>
      <t>Betreuungspensum</t>
    </r>
  </si>
  <si>
    <t>%</t>
  </si>
  <si>
    <t>20% = 1 Tag pro Woche</t>
  </si>
  <si>
    <r>
      <t xml:space="preserve">Anspruchberechtigtes </t>
    </r>
    <r>
      <rPr>
        <b/>
        <i/>
        <sz val="10"/>
        <color theme="1"/>
        <rFont val="Arial"/>
        <family val="2"/>
      </rPr>
      <t>Einkommen</t>
    </r>
  </si>
  <si>
    <r>
      <t xml:space="preserve">Anzahl </t>
    </r>
    <r>
      <rPr>
        <b/>
        <i/>
        <sz val="10"/>
        <color theme="1"/>
        <rFont val="Arial"/>
        <family val="2"/>
      </rPr>
      <t>Geschwister</t>
    </r>
    <r>
      <rPr>
        <i/>
        <sz val="10"/>
        <color theme="1"/>
        <rFont val="Arial"/>
        <family val="2"/>
      </rPr>
      <t>, die ebenfalls familienergänzend betreut werden</t>
    </r>
  </si>
  <si>
    <t>Anz.</t>
  </si>
  <si>
    <t xml:space="preserve">10% Geschwisterrabatt (pro Geschwister welche auch Familienergänzend betreut werden) </t>
  </si>
  <si>
    <t>Betreuungstage pro Woche / pro Monat</t>
  </si>
  <si>
    <t>Betreuungstage pro Woche</t>
  </si>
  <si>
    <t>t</t>
  </si>
  <si>
    <t>Anspruchberechtigtes Betreuungspensum * 5</t>
  </si>
  <si>
    <t>Betreuungstage pro Monat</t>
  </si>
  <si>
    <r>
      <rPr>
        <sz val="10"/>
        <color rgb="FFFF0000"/>
        <rFont val="Arial"/>
        <family val="2"/>
      </rPr>
      <t xml:space="preserve">4 (Wochen pro Monat) </t>
    </r>
    <r>
      <rPr>
        <sz val="10"/>
        <color theme="1"/>
        <rFont val="Arial"/>
        <family val="2"/>
      </rPr>
      <t>* Betreuungstage pro Woche</t>
    </r>
  </si>
  <si>
    <t>Zuschläge</t>
  </si>
  <si>
    <t>Zuschlag Geschwisterbonus (von 10% je Geschwister mit Betreuung)</t>
  </si>
  <si>
    <t>Berechnung des Tarif</t>
  </si>
  <si>
    <t>Normkosten</t>
  </si>
  <si>
    <t>Normkosten gemäss Alter</t>
  </si>
  <si>
    <t>Tarif</t>
  </si>
  <si>
    <t>Minimum Tagestraif oder Normkosten (Tieferer Wert)</t>
  </si>
  <si>
    <t>Berechnungen Grundbetrag &amp; Anstieg Elterbeitrag / 1 CHF Einkommen</t>
  </si>
  <si>
    <t>Grundbetrag</t>
  </si>
  <si>
    <r>
      <t>u</t>
    </r>
    <r>
      <rPr>
        <sz val="10"/>
        <color rgb="FF000000"/>
        <rFont val="Arial"/>
        <family val="2"/>
      </rPr>
      <t xml:space="preserve"> = </t>
    </r>
    <r>
      <rPr>
        <b/>
        <sz val="10"/>
        <color rgb="FF8064A2"/>
        <rFont val="Arial"/>
        <family val="2"/>
      </rPr>
      <t>Minimaltarif</t>
    </r>
    <r>
      <rPr>
        <sz val="10"/>
        <color rgb="FF000000"/>
        <rFont val="Arial"/>
        <family val="2"/>
      </rPr>
      <t xml:space="preserve"> / Normkosten * (1 - </t>
    </r>
    <r>
      <rPr>
        <b/>
        <sz val="10"/>
        <color rgb="FFFF66FF"/>
        <rFont val="Arial"/>
        <family val="2"/>
      </rPr>
      <t>g</t>
    </r>
    <r>
      <rPr>
        <sz val="10"/>
        <color rgb="FF000000"/>
        <rFont val="Arial"/>
        <family val="2"/>
      </rPr>
      <t>) </t>
    </r>
  </si>
  <si>
    <t>Anstieg Beitrag durch Erziehungsberechtigte pro Franken mehr Einkommen</t>
  </si>
  <si>
    <r>
      <t>z</t>
    </r>
    <r>
      <rPr>
        <sz val="10"/>
        <color rgb="FFFFC000"/>
        <rFont val="Arial"/>
        <family val="2"/>
      </rPr>
      <t xml:space="preserve"> </t>
    </r>
    <r>
      <rPr>
        <sz val="10"/>
        <color rgb="FF000000"/>
        <rFont val="Arial"/>
        <family val="2"/>
      </rPr>
      <t xml:space="preserve">= (1 - </t>
    </r>
    <r>
      <rPr>
        <b/>
        <sz val="10"/>
        <color rgb="FF00B050"/>
        <rFont val="Arial"/>
        <family val="2"/>
      </rPr>
      <t>u</t>
    </r>
    <r>
      <rPr>
        <sz val="10"/>
        <color rgb="FF000000"/>
        <rFont val="Arial"/>
        <family val="2"/>
      </rPr>
      <t>) / (Obergrenze - Untergrenze) </t>
    </r>
  </si>
  <si>
    <t>Berechnungen des Selbstbehaltes</t>
  </si>
  <si>
    <t>Selbstbehalt der Erziehungsberechtigten</t>
  </si>
  <si>
    <r>
      <t>y</t>
    </r>
    <r>
      <rPr>
        <sz val="10"/>
        <color theme="1"/>
        <rFont val="Arial"/>
        <family val="2"/>
      </rPr>
      <t xml:space="preserve"> = </t>
    </r>
    <r>
      <rPr>
        <b/>
        <sz val="10"/>
        <color rgb="FF00B050"/>
        <rFont val="Arial"/>
        <family val="2"/>
      </rPr>
      <t>u</t>
    </r>
    <r>
      <rPr>
        <sz val="10"/>
        <color theme="1"/>
        <rFont val="Arial"/>
        <family val="2"/>
      </rPr>
      <t xml:space="preserve"> + </t>
    </r>
    <r>
      <rPr>
        <b/>
        <sz val="10"/>
        <color rgb="FFF79646"/>
        <rFont val="Arial"/>
        <family val="2"/>
      </rPr>
      <t>z</t>
    </r>
    <r>
      <rPr>
        <sz val="10"/>
        <color theme="1"/>
        <rFont val="Arial"/>
        <family val="2"/>
      </rPr>
      <t xml:space="preserve"> * (massgebendes Einkommen - Untergrenze)</t>
    </r>
  </si>
  <si>
    <t>Selbstbehalt pro Tag</t>
  </si>
  <si>
    <t>Wenn Tagestarif höher ist als die Normkosten, dann Diffferenz zu Lasten der Eltern</t>
  </si>
  <si>
    <t>Berechnungen Betreuungsbeitrag</t>
  </si>
  <si>
    <t>Betreuungsbeitrag pro Tag (vor Abzug des minimalen Beitrags)</t>
  </si>
  <si>
    <r>
      <t>x</t>
    </r>
    <r>
      <rPr>
        <sz val="10"/>
        <color rgb="FF000000"/>
        <rFont val="Arial"/>
        <family val="2"/>
      </rPr>
      <t xml:space="preserve"> = Normkosten (oder der Tarif KiBe) * (1 - Selbstbehalt) </t>
    </r>
  </si>
  <si>
    <t>Minimaler Beitrag der Erziehungsberechtigen (pro Tag)</t>
  </si>
  <si>
    <t xml:space="preserve">Änderung Geschwisterrabatt,gilt neu auch für Personen unter der Untergränze </t>
  </si>
  <si>
    <t>Total Betreuungsbeitrag pro Tag</t>
  </si>
  <si>
    <t>Betreuungsbeitrag - minimaler Elternbeitrag</t>
  </si>
  <si>
    <t>Total Betreuungsbeitrag pro Monat</t>
  </si>
  <si>
    <t>Betreuungsbeitrag pro Tag * Betreuungstage pro Monat</t>
  </si>
  <si>
    <t>Total Kosten für Erziehungsberechtigte pro Monat</t>
  </si>
  <si>
    <t>Beitragsrechner Kanton Schwyz - Tagesfamilien</t>
  </si>
  <si>
    <t>Normkosten Tagesfamilie</t>
  </si>
  <si>
    <t>Stundentarif (Norm)</t>
  </si>
  <si>
    <t>Vermittlungsgebühr</t>
  </si>
  <si>
    <t>Ist das Kind im Baby Tarif</t>
  </si>
  <si>
    <r>
      <rPr>
        <b/>
        <i/>
        <sz val="10"/>
        <color theme="1"/>
        <rFont val="Arial"/>
        <family val="2"/>
      </rPr>
      <t>Stundentarif</t>
    </r>
    <r>
      <rPr>
        <i/>
        <sz val="10"/>
        <color theme="1"/>
        <rFont val="Arial"/>
        <family val="2"/>
      </rPr>
      <t xml:space="preserve"> </t>
    </r>
  </si>
  <si>
    <t>20% = 1 Tag pro Woche, 1 Tag = 10 Stunden</t>
  </si>
  <si>
    <t>Betreuungsstunden pro Woche</t>
  </si>
  <si>
    <t>std</t>
  </si>
  <si>
    <t>Betreuungsstunden pro Monat</t>
  </si>
  <si>
    <t>Normkosten pro Tag</t>
  </si>
  <si>
    <t>Normkosten pro Stunde</t>
  </si>
  <si>
    <t>Normkosten pro Tag / 10</t>
  </si>
  <si>
    <t>Anteilsmässige Vermittlungsgebühr pro Stunde</t>
  </si>
  <si>
    <t>4 Franken * Anz. Tage Betreuung pro Monat / Anz. Stunden Betreuung pro Monat</t>
  </si>
  <si>
    <t>Tarif pro Stunde (effektiv)</t>
  </si>
  <si>
    <t>Tarif pro Stunde (Normkosten)</t>
  </si>
  <si>
    <t>Differenz der Stundentarife (Effektiv - Normkosten)</t>
  </si>
  <si>
    <t>Selbstbehalt pro Stunde</t>
  </si>
  <si>
    <t>Betreuungsbeitrag pro Stunde (vor Abzug des minimalen Beitrags)</t>
  </si>
  <si>
    <t>Minimaler Beitrag der Erziehungsberechtigen (pro Stunde)</t>
  </si>
  <si>
    <t>Total Betreuungsbeitrag pro Stunde</t>
  </si>
  <si>
    <t>Total Betreuungsbeitrag pro durchschnittlicher Tag</t>
  </si>
  <si>
    <t>Betreuungsbeitrag pro Tag / 10 Stunden</t>
  </si>
  <si>
    <t>Kosten für die Erziehungsberechtigten pro Monat</t>
  </si>
  <si>
    <t>(Effektiver Stundentarif Kita * Anzahl Stunden pro Monat) - Betreuungsbeitrag pro Monat</t>
  </si>
  <si>
    <t>Beitragsrechner Kanton Schwyz - Mittagstisch</t>
  </si>
  <si>
    <t xml:space="preserve">Normkosten </t>
  </si>
  <si>
    <t>Normkosten Mittagstisch</t>
  </si>
  <si>
    <t>?</t>
  </si>
  <si>
    <t>Tarif pro Mahlzeit</t>
  </si>
  <si>
    <t>20% = 1 Mahlzeit pro Woche</t>
  </si>
  <si>
    <r>
      <rPr>
        <sz val="10"/>
        <color rgb="FFFF0000"/>
        <rFont val="Arial"/>
        <family val="2"/>
      </rPr>
      <t xml:space="preserve">4  (Wochen pro Monat) </t>
    </r>
    <r>
      <rPr>
        <sz val="10"/>
        <color theme="1"/>
        <rFont val="Arial"/>
        <family val="2"/>
      </rPr>
      <t>* Betreuungstage pro Woche</t>
    </r>
  </si>
  <si>
    <t>Stundentarif * 10</t>
  </si>
  <si>
    <t>Betreuungsbeitrag pro Mahlzeit (vor Abzug des minimalen Beitrags)</t>
  </si>
  <si>
    <t>Minimaler Beitrag der Erziehungsberechtigen</t>
  </si>
  <si>
    <t>Gesamtkosten für Erziehungsberechtigte pro Monat</t>
  </si>
  <si>
    <t>Register</t>
  </si>
  <si>
    <t>Änderung</t>
  </si>
  <si>
    <t>Einführungstext ergänzt</t>
  </si>
  <si>
    <t>Text provisorische Berechnung im Beitragsrechner angepasst (für allfälligen Betreuungsbeitrag)</t>
  </si>
  <si>
    <t>Zeile 87 und 91 zusätzliche Texte ergenzt</t>
  </si>
  <si>
    <t>Berechnung Einkommen</t>
  </si>
  <si>
    <t>Zelle H26 wird schrift weiss gemacht, da sonst verwirrend für enduser</t>
  </si>
  <si>
    <t>Einkommen Quellenbesteuerung, Sozialabzug war bis anhin noch nicht berücksichtigt, ergänzt</t>
  </si>
  <si>
    <t>Rechner Kita</t>
  </si>
  <si>
    <t>Formel bei Rechner Kita SE für Kind 3-5 wurden angepasst, der Bezug zur Zelle bei Beitragsrechner war falsch (Zeile 49 und 53)</t>
  </si>
  <si>
    <t>Formel in Zeile 22 und 23 waren bei Kinder 2 und folgende falsch. Angepasst (bezug von zeile 23 auf 22, spalte war jedoch falsch</t>
  </si>
  <si>
    <t>nach onlineschaltung:</t>
  </si>
  <si>
    <t>Rechner TFO</t>
  </si>
  <si>
    <t>Zeile 22, falsche Bezüge zu Beitragsrechner (Zeilen waren falsch)</t>
  </si>
  <si>
    <t>Zeile 52, Wenn effekt. Tarif tiefer, muss von diesem gerechnet werden</t>
  </si>
  <si>
    <t>Noch zu machen, wenn möglich</t>
  </si>
  <si>
    <t>Kommentare, welche durch AGS gemacht wurden, so wie interface darstellen</t>
  </si>
  <si>
    <t>Rechner als PDF?</t>
  </si>
  <si>
    <t>Berechnung Tagesfamilie, wenn mehr als 10 Stunden begrenzen? (Normkosten sind auf 10h pro Tag ausgelegt</t>
  </si>
  <si>
    <t>Berechnung/Resultat ev. vor Infos, welche es auszufüllen gibt? Oder verweis, das Resultat weiter unten ersichtlich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</si>
</sst>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CHF&quot;\ * #,##0.00_ ;_ &quot;CHF&quot;\ * \-#,##0.00_ ;_ &quot;CHF&quot;\ * &quot;-&quot;??_ ;_ @_ "/>
    <numFmt numFmtId="165" formatCode="_ * #,##0.00_ ;_ * \-#,##0.00_ ;_ * &quot;-&quot;??_ ;_ @_ "/>
    <numFmt numFmtId="166" formatCode="0.0000000000%"/>
    <numFmt numFmtId="167" formatCode="_ &quot;CHF&quot;\ * #,##0_ ;_ &quot;CHF&quot;\ * \-#,##0_ ;_ &quot;CHF&quot;\ * &quot;-&quot;??_ ;_ @_ "/>
    <numFmt numFmtId="168" formatCode="_ &quot;CHF&quot;\ * #,##0.0_ ;_ &quot;CHF&quot;\ * \-#,##0.0_ ;_ &quot;CHF&quot;\ * &quot;-&quot;??_ ;_ @_ "/>
    <numFmt numFmtId="169" formatCode="0.0"/>
  </numFmts>
  <fonts count="35">
    <font>
      <sz val="10"/>
      <color theme="1"/>
      <name val="Arial"/>
      <family val="2"/>
    </font>
    <font>
      <sz val="10"/>
      <color theme="1"/>
      <name val="Arial"/>
      <family val="2"/>
    </font>
    <font>
      <b/>
      <sz val="10"/>
      <color theme="1"/>
      <name val="Arial"/>
      <family val="2"/>
    </font>
    <font>
      <i/>
      <sz val="10"/>
      <color theme="1"/>
      <name val="Arial"/>
      <family val="2"/>
    </font>
    <font>
      <sz val="10"/>
      <color rgb="FF3F3F76"/>
      <name val="Arial"/>
      <family val="2"/>
    </font>
    <font>
      <sz val="10"/>
      <name val="Arial"/>
      <family val="2"/>
    </font>
    <font>
      <sz val="14"/>
      <color theme="1"/>
      <name val="Arial"/>
      <family val="2"/>
    </font>
    <font>
      <b/>
      <sz val="10"/>
      <color rgb="FFE2001A"/>
      <name val="Arial"/>
      <family val="2"/>
    </font>
    <font>
      <b/>
      <sz val="10"/>
      <color rgb="FF00B050"/>
      <name val="Arial"/>
      <family val="2"/>
    </font>
    <font>
      <b/>
      <sz val="10"/>
      <color rgb="FFF79646"/>
      <name val="Arial"/>
      <family val="2"/>
    </font>
    <font>
      <b/>
      <sz val="10"/>
      <color rgb="FFFFC000"/>
      <name val="Arial"/>
      <family val="2"/>
    </font>
    <font>
      <sz val="10"/>
      <color rgb="FFFFC000"/>
      <name val="Arial"/>
      <family val="2"/>
    </font>
    <font>
      <sz val="10"/>
      <color rgb="FF000000"/>
      <name val="Arial"/>
      <family val="2"/>
    </font>
    <font>
      <b/>
      <sz val="10"/>
      <color rgb="FF8064A2"/>
      <name val="Arial"/>
      <family val="2"/>
    </font>
    <font>
      <b/>
      <sz val="10"/>
      <color rgb="FFFF66FF"/>
      <name val="Arial"/>
      <family val="2"/>
    </font>
    <font>
      <b/>
      <sz val="10"/>
      <color rgb="FF0070C0"/>
      <name val="Arial"/>
      <family val="2"/>
    </font>
    <font>
      <b/>
      <i/>
      <sz val="10"/>
      <color theme="1"/>
      <name val="Arial"/>
      <family val="2"/>
    </font>
    <font>
      <b/>
      <sz val="8"/>
      <color theme="1"/>
      <name val="Arial"/>
      <family val="2"/>
    </font>
    <font>
      <i/>
      <sz val="10"/>
      <color rgb="FF3F3F76"/>
      <name val="Arial"/>
      <family val="2"/>
    </font>
    <font>
      <sz val="10"/>
      <color rgb="FFFF0000"/>
      <name val="Arial"/>
      <family val="2"/>
    </font>
    <font>
      <sz val="8"/>
      <name val="Arial"/>
      <family val="2"/>
    </font>
    <font>
      <u/>
      <sz val="10"/>
      <color theme="10"/>
      <name val="Arial"/>
      <family val="2"/>
    </font>
    <font>
      <sz val="11"/>
      <color theme="1"/>
      <name val="TradeGothic"/>
      <family val="2"/>
    </font>
    <font>
      <sz val="10"/>
      <color theme="1"/>
      <name val="TradeGothic"/>
      <family val="2"/>
    </font>
    <font>
      <b/>
      <sz val="22"/>
      <color theme="1"/>
      <name val="TradeGothic"/>
      <family val="2"/>
    </font>
    <font>
      <u/>
      <sz val="10"/>
      <color theme="10"/>
      <name val="TradeGothic"/>
      <family val="2"/>
    </font>
    <font>
      <b/>
      <sz val="18"/>
      <color theme="1"/>
      <name val="TradeGothic"/>
      <family val="2"/>
    </font>
    <font>
      <u/>
      <sz val="11"/>
      <color theme="1"/>
      <name val="TradeGothic"/>
      <family val="2"/>
    </font>
    <font>
      <b/>
      <sz val="10"/>
      <color theme="1"/>
      <name val="TradeGothic"/>
      <family val="2"/>
    </font>
    <font>
      <i/>
      <sz val="10"/>
      <color theme="1"/>
      <name val="TradeGothic"/>
      <family val="2"/>
    </font>
    <font>
      <sz val="10"/>
      <color theme="0"/>
      <name val="TradeGothic"/>
      <family val="2"/>
    </font>
    <font>
      <b/>
      <i/>
      <sz val="10"/>
      <color theme="1"/>
      <name val="TradeGothic"/>
      <family val="2"/>
    </font>
    <font>
      <sz val="10"/>
      <name val="TradeGothic"/>
      <family val="2"/>
    </font>
    <font>
      <b/>
      <sz val="11"/>
      <color theme="1"/>
      <name val="TradeGothic"/>
      <family val="2"/>
    </font>
    <font>
      <b/>
      <i/>
      <sz val="11"/>
      <color theme="1"/>
      <name val="TradeGothic"/>
      <family val="2"/>
    </font>
  </fonts>
  <fills count="11">
    <fill>
      <patternFill patternType="none"/>
    </fill>
    <fill>
      <patternFill patternType="gray125"/>
    </fill>
    <fill>
      <patternFill patternType="solid">
        <fgColor rgb="FFFFCC99"/>
      </patternFill>
    </fill>
    <fill>
      <patternFill patternType="solid">
        <fgColor theme="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tint="0.39997558519241921"/>
        <bgColor indexed="64"/>
      </patternFill>
    </fill>
  </fills>
  <borders count="34">
    <border>
      <left/>
      <right/>
      <top/>
      <bottom/>
      <diagonal/>
    </border>
    <border>
      <left style="thin">
        <color rgb="FF7F7F7F"/>
      </left>
      <right style="thin">
        <color rgb="FF7F7F7F"/>
      </right>
      <top style="thin">
        <color rgb="FF7F7F7F"/>
      </top>
      <bottom style="thin">
        <color rgb="FF7F7F7F"/>
      </bottom>
      <diagonal/>
    </border>
    <border>
      <left style="thin">
        <color theme="0" tint="-0.499984740745262"/>
      </left>
      <right/>
      <top/>
      <bottom/>
      <diagonal/>
    </border>
    <border>
      <left/>
      <right style="thin">
        <color theme="0" tint="-0.499984740745262"/>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0" tint="-0.499984740745262"/>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bottom/>
      <diagonal/>
    </border>
    <border>
      <left style="thin">
        <color indexed="64"/>
      </left>
      <right style="thin">
        <color indexed="64"/>
      </right>
      <top/>
      <bottom style="thin">
        <color indexed="64"/>
      </bottom>
      <diagonal/>
    </border>
    <border>
      <left style="thin">
        <color theme="0" tint="-0.499984740745262"/>
      </left>
      <right style="thin">
        <color indexed="64"/>
      </right>
      <top/>
      <bottom style="thin">
        <color indexed="64"/>
      </bottom>
      <diagonal/>
    </border>
    <border>
      <left/>
      <right/>
      <top style="thin">
        <color indexed="64"/>
      </top>
      <bottom style="medium">
        <color indexed="64"/>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0" fontId="4" fillId="2" borderId="1" applyNumberFormat="0" applyAlignment="0" applyProtection="0"/>
    <xf numFmtId="0" fontId="1" fillId="0" borderId="0"/>
    <xf numFmtId="0" fontId="21" fillId="0" borderId="0" applyNumberFormat="0" applyFill="0" applyBorder="0" applyAlignment="0" applyProtection="0"/>
    <xf numFmtId="165" fontId="1" fillId="0" borderId="0" applyFont="0" applyFill="0" applyBorder="0" applyAlignment="0" applyProtection="0"/>
  </cellStyleXfs>
  <cellXfs count="280">
    <xf numFmtId="0" fontId="0" fillId="0" borderId="0" xfId="0"/>
    <xf numFmtId="0" fontId="0" fillId="0" borderId="3" xfId="0" applyBorder="1"/>
    <xf numFmtId="0" fontId="0" fillId="3" borderId="2" xfId="0" applyFill="1" applyBorder="1" applyAlignment="1">
      <alignment horizontal="right"/>
    </xf>
    <xf numFmtId="0" fontId="0" fillId="3" borderId="3" xfId="0" applyFill="1" applyBorder="1" applyAlignment="1">
      <alignment horizontal="right"/>
    </xf>
    <xf numFmtId="166" fontId="0" fillId="0" borderId="0" xfId="1" applyNumberFormat="1" applyFont="1" applyBorder="1"/>
    <xf numFmtId="49" fontId="0" fillId="0" borderId="0" xfId="0" applyNumberFormat="1"/>
    <xf numFmtId="0" fontId="17" fillId="0" borderId="2" xfId="0" applyFont="1" applyBorder="1" applyAlignment="1">
      <alignment horizontal="right"/>
    </xf>
    <xf numFmtId="0" fontId="17" fillId="0" borderId="3" xfId="0" applyFont="1" applyBorder="1" applyAlignment="1">
      <alignment horizontal="right"/>
    </xf>
    <xf numFmtId="0" fontId="6" fillId="0" borderId="5" xfId="0" applyFont="1" applyBorder="1"/>
    <xf numFmtId="0" fontId="6" fillId="0" borderId="6" xfId="0" applyFont="1" applyBorder="1"/>
    <xf numFmtId="0" fontId="0" fillId="0" borderId="6" xfId="0" applyBorder="1"/>
    <xf numFmtId="0" fontId="0" fillId="0" borderId="7" xfId="0" applyBorder="1"/>
    <xf numFmtId="3" fontId="4" fillId="4" borderId="8" xfId="2" applyNumberFormat="1" applyFill="1" applyBorder="1" applyAlignment="1" applyProtection="1"/>
    <xf numFmtId="0" fontId="0" fillId="0" borderId="9" xfId="0" applyBorder="1"/>
    <xf numFmtId="0" fontId="0" fillId="0" borderId="8" xfId="0" applyBorder="1"/>
    <xf numFmtId="0" fontId="0" fillId="3" borderId="8" xfId="0" applyFill="1" applyBorder="1"/>
    <xf numFmtId="0" fontId="0" fillId="3" borderId="0" xfId="0" applyFill="1"/>
    <xf numFmtId="0" fontId="0" fillId="3" borderId="9" xfId="0" applyFill="1" applyBorder="1" applyAlignment="1">
      <alignment horizontal="right"/>
    </xf>
    <xf numFmtId="0" fontId="3" fillId="0" borderId="8" xfId="0" applyFont="1" applyBorder="1"/>
    <xf numFmtId="0" fontId="3" fillId="0" borderId="0" xfId="0" applyFont="1"/>
    <xf numFmtId="0" fontId="3" fillId="3" borderId="0" xfId="0" applyFont="1" applyFill="1"/>
    <xf numFmtId="0" fontId="0" fillId="0" borderId="8" xfId="0" applyBorder="1" applyAlignment="1">
      <alignment wrapText="1"/>
    </xf>
    <xf numFmtId="2" fontId="0" fillId="0" borderId="0" xfId="0" applyNumberFormat="1"/>
    <xf numFmtId="3" fontId="4" fillId="4" borderId="0" xfId="2" applyNumberFormat="1" applyFill="1" applyBorder="1" applyAlignment="1" applyProtection="1"/>
    <xf numFmtId="3" fontId="4" fillId="4" borderId="9" xfId="2" applyNumberFormat="1" applyFill="1" applyBorder="1" applyAlignment="1" applyProtection="1"/>
    <xf numFmtId="49" fontId="0" fillId="0" borderId="10" xfId="0" applyNumberFormat="1" applyBorder="1"/>
    <xf numFmtId="49" fontId="8" fillId="0" borderId="10" xfId="0" applyNumberFormat="1" applyFont="1" applyBorder="1"/>
    <xf numFmtId="49" fontId="10" fillId="0" borderId="10" xfId="0" applyNumberFormat="1" applyFont="1" applyBorder="1"/>
    <xf numFmtId="49" fontId="15" fillId="0" borderId="10" xfId="0" applyNumberFormat="1" applyFont="1" applyBorder="1"/>
    <xf numFmtId="49" fontId="5" fillId="0" borderId="10" xfId="0" applyNumberFormat="1" applyFont="1" applyBorder="1"/>
    <xf numFmtId="49" fontId="7" fillId="0" borderId="10" xfId="0" applyNumberFormat="1" applyFont="1" applyBorder="1"/>
    <xf numFmtId="0" fontId="0" fillId="3" borderId="11" xfId="0" applyFill="1" applyBorder="1"/>
    <xf numFmtId="0" fontId="0" fillId="3" borderId="12" xfId="0" applyFill="1" applyBorder="1"/>
    <xf numFmtId="0" fontId="2" fillId="3" borderId="13" xfId="0" applyFont="1" applyFill="1" applyBorder="1" applyAlignment="1">
      <alignment horizontal="right"/>
    </xf>
    <xf numFmtId="0" fontId="2" fillId="3" borderId="14" xfId="0" applyFont="1" applyFill="1" applyBorder="1" applyAlignment="1">
      <alignment horizontal="right"/>
    </xf>
    <xf numFmtId="49" fontId="2" fillId="3" borderId="4" xfId="0" applyNumberFormat="1" applyFont="1" applyFill="1" applyBorder="1"/>
    <xf numFmtId="0" fontId="2" fillId="3" borderId="12" xfId="0" applyFont="1" applyFill="1" applyBorder="1" applyAlignment="1">
      <alignment horizontal="right"/>
    </xf>
    <xf numFmtId="0" fontId="17" fillId="0" borderId="0" xfId="0" applyFont="1" applyAlignment="1">
      <alignment horizontal="right"/>
    </xf>
    <xf numFmtId="0" fontId="0" fillId="3" borderId="0" xfId="0" applyFill="1" applyAlignment="1">
      <alignment horizontal="right"/>
    </xf>
    <xf numFmtId="0" fontId="17" fillId="0" borderId="9" xfId="0" applyFont="1" applyBorder="1" applyAlignment="1">
      <alignment horizontal="right"/>
    </xf>
    <xf numFmtId="166" fontId="0" fillId="0" borderId="3" xfId="1" applyNumberFormat="1" applyFont="1" applyBorder="1"/>
    <xf numFmtId="49" fontId="17" fillId="0" borderId="10" xfId="0" applyNumberFormat="1" applyFont="1" applyBorder="1"/>
    <xf numFmtId="0" fontId="2" fillId="0" borderId="8" xfId="0" applyFont="1" applyBorder="1"/>
    <xf numFmtId="3" fontId="0" fillId="0" borderId="0" xfId="0" applyNumberFormat="1"/>
    <xf numFmtId="9" fontId="0" fillId="0" borderId="0" xfId="0" applyNumberFormat="1"/>
    <xf numFmtId="10" fontId="0" fillId="0" borderId="0" xfId="1" applyNumberFormat="1" applyFont="1" applyBorder="1"/>
    <xf numFmtId="2" fontId="2" fillId="0" borderId="0" xfId="0" applyNumberFormat="1" applyFont="1"/>
    <xf numFmtId="0" fontId="0" fillId="3" borderId="15" xfId="0" applyFill="1" applyBorder="1" applyAlignment="1">
      <alignment horizontal="right"/>
    </xf>
    <xf numFmtId="0" fontId="0" fillId="0" borderId="15" xfId="0" applyBorder="1"/>
    <xf numFmtId="9" fontId="0" fillId="0" borderId="15" xfId="0" applyNumberFormat="1" applyBorder="1"/>
    <xf numFmtId="166" fontId="0" fillId="0" borderId="15" xfId="1" applyNumberFormat="1" applyFont="1" applyBorder="1"/>
    <xf numFmtId="2" fontId="0" fillId="0" borderId="15" xfId="1" applyNumberFormat="1" applyFont="1" applyBorder="1"/>
    <xf numFmtId="0" fontId="3" fillId="0" borderId="6" xfId="0" applyFont="1" applyBorder="1"/>
    <xf numFmtId="3" fontId="0" fillId="0" borderId="6" xfId="0" applyNumberFormat="1" applyBorder="1"/>
    <xf numFmtId="0" fontId="2" fillId="0" borderId="0" xfId="0" applyFont="1"/>
    <xf numFmtId="0" fontId="16" fillId="0" borderId="0" xfId="0" applyFont="1"/>
    <xf numFmtId="0" fontId="0" fillId="0" borderId="10" xfId="0" applyBorder="1"/>
    <xf numFmtId="49" fontId="5" fillId="0" borderId="16" xfId="0" applyNumberFormat="1" applyFont="1" applyBorder="1"/>
    <xf numFmtId="2" fontId="2" fillId="0" borderId="17" xfId="0" applyNumberFormat="1" applyFont="1" applyBorder="1"/>
    <xf numFmtId="3" fontId="4" fillId="0" borderId="0" xfId="2" applyNumberFormat="1" applyFill="1" applyBorder="1" applyAlignment="1" applyProtection="1">
      <protection locked="0"/>
    </xf>
    <xf numFmtId="3" fontId="4" fillId="0" borderId="0" xfId="2" applyNumberFormat="1" applyFill="1" applyBorder="1" applyAlignment="1" applyProtection="1"/>
    <xf numFmtId="0" fontId="0" fillId="0" borderId="0" xfId="0" applyAlignment="1">
      <alignment horizontal="right"/>
    </xf>
    <xf numFmtId="49" fontId="0" fillId="0" borderId="9" xfId="0" applyNumberFormat="1" applyBorder="1"/>
    <xf numFmtId="49" fontId="0" fillId="0" borderId="7" xfId="0" applyNumberFormat="1" applyBorder="1"/>
    <xf numFmtId="14" fontId="0" fillId="0" borderId="0" xfId="0" applyNumberFormat="1"/>
    <xf numFmtId="4" fontId="3" fillId="0" borderId="6" xfId="0" applyNumberFormat="1" applyFont="1" applyBorder="1"/>
    <xf numFmtId="3" fontId="18" fillId="4" borderId="0" xfId="2" applyNumberFormat="1" applyFont="1" applyFill="1" applyBorder="1" applyAlignment="1" applyProtection="1"/>
    <xf numFmtId="2" fontId="1" fillId="0" borderId="2" xfId="1" applyNumberFormat="1" applyFont="1" applyBorder="1"/>
    <xf numFmtId="2" fontId="2" fillId="0" borderId="2" xfId="0" applyNumberFormat="1" applyFont="1" applyBorder="1"/>
    <xf numFmtId="2" fontId="2" fillId="0" borderId="2" xfId="1" applyNumberFormat="1" applyFont="1" applyBorder="1"/>
    <xf numFmtId="9" fontId="0" fillId="0" borderId="9" xfId="0" applyNumberFormat="1" applyBorder="1"/>
    <xf numFmtId="2" fontId="0" fillId="0" borderId="9" xfId="0" applyNumberFormat="1" applyBorder="1"/>
    <xf numFmtId="10" fontId="0" fillId="0" borderId="9" xfId="1" applyNumberFormat="1" applyFont="1" applyBorder="1"/>
    <xf numFmtId="166" fontId="0" fillId="0" borderId="9" xfId="1" applyNumberFormat="1" applyFont="1" applyBorder="1"/>
    <xf numFmtId="2" fontId="2" fillId="0" borderId="9" xfId="0" applyNumberFormat="1" applyFont="1" applyBorder="1"/>
    <xf numFmtId="2" fontId="0" fillId="0" borderId="9" xfId="1" applyNumberFormat="1" applyFont="1" applyBorder="1"/>
    <xf numFmtId="2" fontId="0" fillId="0" borderId="21" xfId="0" applyNumberFormat="1" applyBorder="1"/>
    <xf numFmtId="0" fontId="0" fillId="0" borderId="2" xfId="0" applyBorder="1"/>
    <xf numFmtId="9" fontId="0" fillId="0" borderId="2" xfId="0" applyNumberFormat="1" applyBorder="1"/>
    <xf numFmtId="2" fontId="0" fillId="0" borderId="2" xfId="0" applyNumberFormat="1" applyBorder="1"/>
    <xf numFmtId="10" fontId="1" fillId="0" borderId="2" xfId="1" applyNumberFormat="1" applyFont="1" applyBorder="1"/>
    <xf numFmtId="166" fontId="1" fillId="0" borderId="2" xfId="1" applyNumberFormat="1" applyFont="1" applyBorder="1"/>
    <xf numFmtId="3" fontId="4" fillId="6" borderId="2" xfId="2" applyNumberFormat="1" applyFill="1" applyBorder="1" applyAlignment="1" applyProtection="1">
      <protection locked="0"/>
    </xf>
    <xf numFmtId="3" fontId="4" fillId="6" borderId="9" xfId="2" applyNumberFormat="1" applyFill="1" applyBorder="1" applyAlignment="1" applyProtection="1">
      <protection locked="0"/>
    </xf>
    <xf numFmtId="3" fontId="4" fillId="6" borderId="15" xfId="2" applyNumberFormat="1" applyFill="1" applyBorder="1" applyAlignment="1" applyProtection="1">
      <protection locked="0"/>
    </xf>
    <xf numFmtId="3" fontId="4" fillId="6" borderId="0" xfId="2" applyNumberFormat="1" applyFill="1" applyBorder="1" applyAlignment="1" applyProtection="1">
      <protection locked="0"/>
    </xf>
    <xf numFmtId="9" fontId="4" fillId="6" borderId="2" xfId="1" applyFont="1" applyFill="1" applyBorder="1" applyAlignment="1" applyProtection="1">
      <protection locked="0"/>
    </xf>
    <xf numFmtId="9" fontId="4" fillId="6" borderId="9" xfId="1" applyFont="1" applyFill="1" applyBorder="1" applyAlignment="1" applyProtection="1">
      <protection locked="0"/>
    </xf>
    <xf numFmtId="9" fontId="4" fillId="6" borderId="15" xfId="1" applyFont="1" applyFill="1" applyBorder="1" applyAlignment="1" applyProtection="1">
      <protection locked="0"/>
    </xf>
    <xf numFmtId="9" fontId="4" fillId="6" borderId="0" xfId="1" applyFont="1" applyFill="1" applyBorder="1" applyAlignment="1" applyProtection="1">
      <protection locked="0"/>
    </xf>
    <xf numFmtId="0" fontId="16" fillId="0" borderId="8" xfId="0" applyFont="1" applyBorder="1"/>
    <xf numFmtId="3" fontId="0" fillId="0" borderId="2" xfId="0" applyNumberFormat="1" applyBorder="1"/>
    <xf numFmtId="2" fontId="0" fillId="0" borderId="0" xfId="1" applyNumberFormat="1" applyFont="1" applyBorder="1"/>
    <xf numFmtId="2" fontId="1" fillId="0" borderId="0" xfId="1" applyNumberFormat="1" applyFont="1" applyBorder="1"/>
    <xf numFmtId="49" fontId="5" fillId="0" borderId="0" xfId="0" applyNumberFormat="1" applyFont="1"/>
    <xf numFmtId="169" fontId="3" fillId="0" borderId="0" xfId="0" applyNumberFormat="1" applyFont="1"/>
    <xf numFmtId="169" fontId="0" fillId="0" borderId="0" xfId="0" applyNumberFormat="1"/>
    <xf numFmtId="4" fontId="4" fillId="0" borderId="0" xfId="2" applyNumberFormat="1" applyFill="1" applyBorder="1" applyAlignment="1" applyProtection="1">
      <protection locked="0"/>
    </xf>
    <xf numFmtId="0" fontId="0" fillId="9" borderId="0" xfId="0" applyFill="1"/>
    <xf numFmtId="0" fontId="0" fillId="10" borderId="0" xfId="0" applyFill="1"/>
    <xf numFmtId="0" fontId="0" fillId="3" borderId="0" xfId="0" applyFill="1" applyBorder="1" applyAlignment="1">
      <alignment horizontal="right"/>
    </xf>
    <xf numFmtId="0" fontId="0" fillId="0" borderId="0" xfId="0" applyBorder="1"/>
    <xf numFmtId="2" fontId="0" fillId="0" borderId="0" xfId="0" applyNumberFormat="1" applyBorder="1"/>
    <xf numFmtId="3" fontId="0" fillId="0" borderId="0" xfId="0" applyNumberFormat="1" applyBorder="1"/>
    <xf numFmtId="0" fontId="2" fillId="0" borderId="0" xfId="0" applyFont="1" applyBorder="1"/>
    <xf numFmtId="10" fontId="0" fillId="0" borderId="0" xfId="1" applyNumberFormat="1" applyFont="1" applyFill="1" applyBorder="1" applyAlignment="1">
      <alignment horizontal="right"/>
    </xf>
    <xf numFmtId="166" fontId="1" fillId="0" borderId="0" xfId="1" applyNumberFormat="1" applyFont="1" applyBorder="1"/>
    <xf numFmtId="10" fontId="1" fillId="0" borderId="0" xfId="1" applyNumberFormat="1" applyFont="1" applyBorder="1"/>
    <xf numFmtId="2" fontId="2" fillId="0" borderId="0" xfId="0" applyNumberFormat="1" applyFont="1" applyBorder="1"/>
    <xf numFmtId="2" fontId="2" fillId="0" borderId="0" xfId="1" applyNumberFormat="1" applyFont="1" applyBorder="1"/>
    <xf numFmtId="3" fontId="0" fillId="0" borderId="9" xfId="0" applyNumberFormat="1" applyBorder="1"/>
    <xf numFmtId="2" fontId="1" fillId="0" borderId="21" xfId="1" applyNumberFormat="1" applyFont="1" applyBorder="1"/>
    <xf numFmtId="0" fontId="17" fillId="0" borderId="7" xfId="0" applyFont="1" applyBorder="1" applyAlignment="1">
      <alignment horizontal="right"/>
    </xf>
    <xf numFmtId="10" fontId="0" fillId="0" borderId="9" xfId="1" applyNumberFormat="1" applyFont="1" applyFill="1" applyBorder="1" applyAlignment="1">
      <alignment horizontal="right"/>
    </xf>
    <xf numFmtId="166" fontId="1" fillId="0" borderId="9" xfId="1" applyNumberFormat="1" applyFont="1" applyBorder="1"/>
    <xf numFmtId="10" fontId="1" fillId="0" borderId="9" xfId="1" applyNumberFormat="1" applyFont="1" applyBorder="1"/>
    <xf numFmtId="2" fontId="1" fillId="0" borderId="9" xfId="1" applyNumberFormat="1" applyFont="1" applyBorder="1"/>
    <xf numFmtId="2" fontId="2" fillId="0" borderId="9" xfId="1" applyNumberFormat="1" applyFont="1" applyBorder="1"/>
    <xf numFmtId="0" fontId="0" fillId="3" borderId="9" xfId="0" applyFill="1" applyBorder="1"/>
    <xf numFmtId="0" fontId="3" fillId="0" borderId="9" xfId="0" applyFont="1" applyBorder="1"/>
    <xf numFmtId="0" fontId="3" fillId="3" borderId="9" xfId="0" applyFont="1" applyFill="1" applyBorder="1"/>
    <xf numFmtId="0" fontId="16" fillId="0" borderId="9" xfId="0" applyFont="1" applyBorder="1"/>
    <xf numFmtId="0" fontId="3" fillId="0" borderId="21" xfId="0" applyFont="1" applyBorder="1"/>
    <xf numFmtId="0" fontId="17" fillId="0" borderId="0" xfId="0" applyFont="1" applyBorder="1" applyAlignment="1">
      <alignment horizontal="right"/>
    </xf>
    <xf numFmtId="9" fontId="0" fillId="0" borderId="0" xfId="0" applyNumberFormat="1" applyBorder="1"/>
    <xf numFmtId="0" fontId="17" fillId="0" borderId="31" xfId="0" applyFont="1" applyBorder="1" applyAlignment="1">
      <alignment horizontal="right"/>
    </xf>
    <xf numFmtId="0" fontId="0" fillId="3" borderId="10" xfId="0" applyFill="1" applyBorder="1" applyAlignment="1">
      <alignment horizontal="right"/>
    </xf>
    <xf numFmtId="3" fontId="4" fillId="6" borderId="10" xfId="2" applyNumberFormat="1" applyFill="1" applyBorder="1" applyAlignment="1" applyProtection="1">
      <protection locked="0"/>
    </xf>
    <xf numFmtId="9" fontId="4" fillId="6" borderId="10" xfId="1" applyFont="1" applyFill="1" applyBorder="1" applyAlignment="1" applyProtection="1">
      <protection locked="0"/>
    </xf>
    <xf numFmtId="9" fontId="0" fillId="0" borderId="10" xfId="0" applyNumberFormat="1" applyBorder="1"/>
    <xf numFmtId="10" fontId="0" fillId="0" borderId="10" xfId="1" applyNumberFormat="1" applyFont="1" applyFill="1" applyBorder="1" applyAlignment="1">
      <alignment horizontal="right"/>
    </xf>
    <xf numFmtId="166" fontId="1" fillId="0" borderId="10" xfId="1" applyNumberFormat="1" applyFont="1" applyBorder="1"/>
    <xf numFmtId="166" fontId="0" fillId="0" borderId="10" xfId="1" applyNumberFormat="1" applyFont="1" applyBorder="1"/>
    <xf numFmtId="10" fontId="1" fillId="0" borderId="10" xfId="1" applyNumberFormat="1" applyFont="1" applyBorder="1"/>
    <xf numFmtId="2" fontId="1" fillId="0" borderId="10" xfId="1" applyNumberFormat="1" applyFont="1" applyBorder="1"/>
    <xf numFmtId="2" fontId="2" fillId="0" borderId="10" xfId="0" applyNumberFormat="1" applyFont="1" applyBorder="1"/>
    <xf numFmtId="2" fontId="2" fillId="0" borderId="10" xfId="1" applyNumberFormat="1" applyFont="1" applyBorder="1"/>
    <xf numFmtId="2" fontId="1" fillId="0" borderId="16" xfId="1" applyNumberFormat="1" applyFont="1" applyBorder="1"/>
    <xf numFmtId="2" fontId="1" fillId="0" borderId="20" xfId="1" applyNumberFormat="1" applyFont="1" applyBorder="1"/>
    <xf numFmtId="2" fontId="1" fillId="0" borderId="22" xfId="1" applyNumberFormat="1" applyFont="1" applyBorder="1"/>
    <xf numFmtId="2" fontId="2" fillId="0" borderId="22" xfId="0" applyNumberFormat="1" applyFont="1" applyBorder="1"/>
    <xf numFmtId="49" fontId="17" fillId="0" borderId="31" xfId="0" applyNumberFormat="1" applyFont="1" applyBorder="1"/>
    <xf numFmtId="3" fontId="4" fillId="4" borderId="22" xfId="2" applyNumberFormat="1" applyFill="1" applyBorder="1" applyAlignment="1" applyProtection="1"/>
    <xf numFmtId="2" fontId="0" fillId="0" borderId="10" xfId="0" applyNumberFormat="1" applyBorder="1"/>
    <xf numFmtId="0" fontId="23" fillId="0" borderId="0" xfId="0" applyFont="1"/>
    <xf numFmtId="0" fontId="24" fillId="0" borderId="0" xfId="0" applyFont="1"/>
    <xf numFmtId="0" fontId="25" fillId="0" borderId="0" xfId="4" applyFont="1"/>
    <xf numFmtId="0" fontId="22" fillId="0" borderId="0" xfId="0" applyFont="1" applyAlignment="1">
      <alignment wrapText="1"/>
    </xf>
    <xf numFmtId="0" fontId="23" fillId="0" borderId="6" xfId="0" applyFont="1" applyBorder="1"/>
    <xf numFmtId="0" fontId="23" fillId="0" borderId="0" xfId="0" applyFont="1" applyAlignment="1">
      <alignment horizontal="left" vertical="center" wrapText="1"/>
    </xf>
    <xf numFmtId="0" fontId="23" fillId="6" borderId="0" xfId="0" applyFont="1" applyFill="1" applyProtection="1">
      <protection locked="0"/>
    </xf>
    <xf numFmtId="167" fontId="23" fillId="7" borderId="0" xfId="0" applyNumberFormat="1" applyFont="1" applyFill="1" applyProtection="1">
      <protection locked="0"/>
    </xf>
    <xf numFmtId="167" fontId="23" fillId="0" borderId="0" xfId="0" applyNumberFormat="1" applyFont="1"/>
    <xf numFmtId="0" fontId="23" fillId="0" borderId="0" xfId="0" applyFont="1" applyProtection="1">
      <protection locked="0"/>
    </xf>
    <xf numFmtId="0" fontId="26" fillId="0" borderId="6" xfId="0" applyFont="1" applyBorder="1"/>
    <xf numFmtId="0" fontId="23" fillId="0" borderId="6" xfId="0" applyFont="1" applyBorder="1" applyAlignment="1">
      <alignment horizontal="left" vertical="center" wrapText="1"/>
    </xf>
    <xf numFmtId="14" fontId="23" fillId="6" borderId="0" xfId="0" applyNumberFormat="1" applyFont="1" applyFill="1" applyProtection="1">
      <protection locked="0"/>
    </xf>
    <xf numFmtId="14" fontId="23" fillId="0" borderId="0" xfId="0" applyNumberFormat="1" applyFont="1"/>
    <xf numFmtId="0" fontId="23" fillId="6" borderId="5" xfId="0" applyFont="1" applyFill="1" applyBorder="1" applyAlignment="1" applyProtection="1">
      <alignment horizontal="center"/>
      <protection locked="0"/>
    </xf>
    <xf numFmtId="0" fontId="23" fillId="6" borderId="6" xfId="0" applyFont="1" applyFill="1" applyBorder="1" applyAlignment="1" applyProtection="1">
      <alignment horizontal="center"/>
      <protection locked="0"/>
    </xf>
    <xf numFmtId="167" fontId="23" fillId="6" borderId="0" xfId="0" applyNumberFormat="1" applyFont="1" applyFill="1" applyProtection="1">
      <protection locked="0"/>
    </xf>
    <xf numFmtId="0" fontId="23" fillId="6" borderId="8" xfId="0" applyFont="1" applyFill="1" applyBorder="1" applyAlignment="1" applyProtection="1">
      <alignment horizontal="center"/>
      <protection locked="0"/>
    </xf>
    <xf numFmtId="0" fontId="23" fillId="6" borderId="0" xfId="0" applyFont="1" applyFill="1" applyAlignment="1" applyProtection="1">
      <alignment horizontal="center"/>
      <protection locked="0"/>
    </xf>
    <xf numFmtId="168" fontId="23" fillId="6" borderId="0" xfId="0" applyNumberFormat="1" applyFont="1" applyFill="1" applyProtection="1">
      <protection locked="0"/>
    </xf>
    <xf numFmtId="0" fontId="23" fillId="0" borderId="0" xfId="0" applyFont="1" applyAlignment="1">
      <alignment vertical="center"/>
    </xf>
    <xf numFmtId="0" fontId="22" fillId="0" borderId="0" xfId="0" applyFont="1"/>
    <xf numFmtId="14" fontId="23" fillId="0" borderId="6" xfId="0" applyNumberFormat="1" applyFont="1" applyBorder="1"/>
    <xf numFmtId="167" fontId="28" fillId="8" borderId="0" xfId="0" applyNumberFormat="1" applyFont="1" applyFill="1"/>
    <xf numFmtId="0" fontId="23" fillId="3" borderId="0" xfId="0" applyFont="1" applyFill="1"/>
    <xf numFmtId="0" fontId="23" fillId="8" borderId="0" xfId="0" applyFont="1" applyFill="1"/>
    <xf numFmtId="0" fontId="23" fillId="0" borderId="22" xfId="0" applyFont="1" applyBorder="1"/>
    <xf numFmtId="0" fontId="23" fillId="3" borderId="6" xfId="0" applyFont="1" applyFill="1" applyBorder="1"/>
    <xf numFmtId="0" fontId="23" fillId="8" borderId="6" xfId="0" applyFont="1" applyFill="1" applyBorder="1"/>
    <xf numFmtId="168" fontId="23" fillId="0" borderId="0" xfId="0" applyNumberFormat="1" applyFont="1"/>
    <xf numFmtId="167" fontId="23" fillId="3" borderId="0" xfId="0" applyNumberFormat="1" applyFont="1" applyFill="1"/>
    <xf numFmtId="0" fontId="31" fillId="0" borderId="29" xfId="0" applyFont="1" applyBorder="1"/>
    <xf numFmtId="0" fontId="23" fillId="0" borderId="29" xfId="0" applyFont="1" applyBorder="1"/>
    <xf numFmtId="0" fontId="28" fillId="0" borderId="29" xfId="0" applyFont="1" applyBorder="1"/>
    <xf numFmtId="167" fontId="28" fillId="0" borderId="29" xfId="0" applyNumberFormat="1" applyFont="1" applyBorder="1"/>
    <xf numFmtId="0" fontId="28" fillId="0" borderId="0" xfId="0" applyFont="1"/>
    <xf numFmtId="0" fontId="29" fillId="0" borderId="0" xfId="0" applyFont="1"/>
    <xf numFmtId="0" fontId="23" fillId="0" borderId="0" xfId="0" applyFont="1" applyAlignment="1">
      <alignment horizontal="left" vertical="center"/>
    </xf>
    <xf numFmtId="14" fontId="23" fillId="0" borderId="0" xfId="0" applyNumberFormat="1" applyFont="1" applyAlignment="1">
      <alignment horizontal="center" vertical="center"/>
    </xf>
    <xf numFmtId="0" fontId="23" fillId="0" borderId="0" xfId="0" applyFont="1" applyAlignment="1">
      <alignment horizontal="center" vertical="center"/>
    </xf>
    <xf numFmtId="0" fontId="23" fillId="0" borderId="0" xfId="0" applyFont="1" applyAlignment="1">
      <alignment horizontal="left"/>
    </xf>
    <xf numFmtId="0" fontId="23" fillId="0" borderId="0" xfId="0" applyFont="1" applyAlignment="1">
      <alignment horizontal="right" vertical="center"/>
    </xf>
    <xf numFmtId="0" fontId="29" fillId="0" borderId="0" xfId="0" applyFont="1" applyAlignment="1">
      <alignment horizontal="left" wrapText="1"/>
    </xf>
    <xf numFmtId="0" fontId="23" fillId="0" borderId="0" xfId="0" applyFont="1" applyAlignment="1">
      <alignment horizontal="right" vertical="center" wrapText="1"/>
    </xf>
    <xf numFmtId="0" fontId="32" fillId="0" borderId="0" xfId="0" applyFont="1" applyAlignment="1">
      <alignment horizontal="left" vertical="center" wrapText="1"/>
    </xf>
    <xf numFmtId="164" fontId="23" fillId="0" borderId="0" xfId="0" applyNumberFormat="1" applyFont="1" applyAlignment="1">
      <alignment horizontal="left" vertical="center"/>
    </xf>
    <xf numFmtId="167" fontId="23" fillId="0" borderId="0" xfId="0" applyNumberFormat="1" applyFont="1" applyAlignment="1">
      <alignment horizontal="left" vertical="center"/>
    </xf>
    <xf numFmtId="0" fontId="28" fillId="0" borderId="0" xfId="0" applyFont="1" applyAlignment="1">
      <alignment vertical="center" wrapText="1"/>
    </xf>
    <xf numFmtId="164" fontId="29" fillId="0" borderId="0" xfId="0" applyNumberFormat="1" applyFont="1"/>
    <xf numFmtId="164" fontId="23" fillId="0" borderId="0" xfId="0" applyNumberFormat="1" applyFont="1" applyAlignment="1">
      <alignment vertical="center"/>
    </xf>
    <xf numFmtId="0" fontId="29" fillId="0" borderId="0" xfId="0" applyFont="1" applyAlignment="1">
      <alignment wrapText="1"/>
    </xf>
    <xf numFmtId="0" fontId="28" fillId="0" borderId="0" xfId="0" applyFont="1" applyAlignment="1">
      <alignment vertical="center"/>
    </xf>
    <xf numFmtId="164" fontId="28" fillId="0" borderId="0" xfId="0" applyNumberFormat="1" applyFont="1" applyAlignment="1">
      <alignment vertical="center"/>
    </xf>
    <xf numFmtId="0" fontId="23" fillId="0" borderId="5" xfId="0" applyFont="1" applyBorder="1"/>
    <xf numFmtId="167" fontId="23" fillId="0" borderId="6" xfId="0" applyNumberFormat="1" applyFont="1" applyBorder="1"/>
    <xf numFmtId="0" fontId="23" fillId="0" borderId="7" xfId="0" applyFont="1" applyBorder="1"/>
    <xf numFmtId="0" fontId="33" fillId="0" borderId="8" xfId="0" applyFont="1" applyBorder="1"/>
    <xf numFmtId="0" fontId="33" fillId="0" borderId="0" xfId="0" applyFont="1" applyAlignment="1">
      <alignment vertical="center" wrapText="1"/>
    </xf>
    <xf numFmtId="167" fontId="33" fillId="0" borderId="0" xfId="0" applyNumberFormat="1" applyFont="1" applyAlignment="1">
      <alignment vertical="center" wrapText="1"/>
    </xf>
    <xf numFmtId="0" fontId="33" fillId="0" borderId="9" xfId="0" applyFont="1" applyBorder="1" applyAlignment="1">
      <alignment vertical="center" wrapText="1"/>
    </xf>
    <xf numFmtId="0" fontId="23" fillId="5" borderId="8" xfId="0" applyFont="1" applyFill="1" applyBorder="1"/>
    <xf numFmtId="0" fontId="23" fillId="5" borderId="9" xfId="0" applyFont="1" applyFill="1" applyBorder="1"/>
    <xf numFmtId="0" fontId="23" fillId="0" borderId="8" xfId="0" applyFont="1" applyBorder="1"/>
    <xf numFmtId="0" fontId="29" fillId="0" borderId="0" xfId="0" applyFont="1" applyAlignment="1">
      <alignment horizontal="left" vertical="center"/>
    </xf>
    <xf numFmtId="167" fontId="23" fillId="0" borderId="0" xfId="0" applyNumberFormat="1" applyFont="1" applyAlignment="1">
      <alignment vertical="center"/>
    </xf>
    <xf numFmtId="0" fontId="23" fillId="0" borderId="9" xfId="0" applyFont="1" applyBorder="1"/>
    <xf numFmtId="0" fontId="31" fillId="0" borderId="0" xfId="0" applyFont="1" applyAlignment="1">
      <alignment horizontal="left" vertical="center" wrapText="1"/>
    </xf>
    <xf numFmtId="0" fontId="31" fillId="0" borderId="0" xfId="0" applyFont="1" applyAlignment="1">
      <alignment horizontal="left" vertical="center"/>
    </xf>
    <xf numFmtId="167" fontId="31" fillId="0" borderId="18" xfId="0" applyNumberFormat="1" applyFont="1" applyBorder="1" applyAlignment="1">
      <alignment vertical="center"/>
    </xf>
    <xf numFmtId="0" fontId="33" fillId="5" borderId="0" xfId="0" applyFont="1" applyFill="1" applyAlignment="1">
      <alignment horizontal="left" vertical="center" wrapText="1"/>
    </xf>
    <xf numFmtId="167" fontId="33" fillId="5" borderId="0" xfId="0" applyNumberFormat="1" applyFont="1" applyFill="1" applyAlignment="1">
      <alignment horizontal="left" vertical="center" wrapText="1"/>
    </xf>
    <xf numFmtId="0" fontId="33" fillId="0" borderId="0" xfId="0" applyFont="1" applyAlignment="1">
      <alignment horizontal="left" vertical="center"/>
    </xf>
    <xf numFmtId="167" fontId="33" fillId="0" borderId="19" xfId="0" applyNumberFormat="1" applyFont="1" applyBorder="1" applyAlignment="1">
      <alignment vertical="center"/>
    </xf>
    <xf numFmtId="0" fontId="23" fillId="0" borderId="20" xfId="0" applyFont="1" applyBorder="1"/>
    <xf numFmtId="0" fontId="23" fillId="0" borderId="21" xfId="0" applyFont="1" applyBorder="1"/>
    <xf numFmtId="0" fontId="33" fillId="0" borderId="0" xfId="0" applyFont="1"/>
    <xf numFmtId="167" fontId="33" fillId="0" borderId="0" xfId="0" applyNumberFormat="1" applyFont="1"/>
    <xf numFmtId="0" fontId="33" fillId="0" borderId="9" xfId="0" applyFont="1" applyBorder="1"/>
    <xf numFmtId="0" fontId="23" fillId="0" borderId="23" xfId="0" applyFont="1" applyBorder="1"/>
    <xf numFmtId="0" fontId="23" fillId="0" borderId="24" xfId="0" applyFont="1" applyBorder="1"/>
    <xf numFmtId="167" fontId="23" fillId="0" borderId="24" xfId="0" applyNumberFormat="1" applyFont="1" applyBorder="1"/>
    <xf numFmtId="0" fontId="23" fillId="0" borderId="25" xfId="0" applyFont="1" applyBorder="1"/>
    <xf numFmtId="0" fontId="23" fillId="0" borderId="26" xfId="0" applyFont="1" applyBorder="1"/>
    <xf numFmtId="0" fontId="23" fillId="0" borderId="27" xfId="0" applyFont="1" applyBorder="1"/>
    <xf numFmtId="0" fontId="30" fillId="0" borderId="0" xfId="0" applyFont="1"/>
    <xf numFmtId="0" fontId="23" fillId="0" borderId="28" xfId="0" applyFont="1" applyBorder="1"/>
    <xf numFmtId="167" fontId="23" fillId="0" borderId="29" xfId="0" applyNumberFormat="1" applyFont="1" applyBorder="1"/>
    <xf numFmtId="0" fontId="23" fillId="0" borderId="30" xfId="0" applyFont="1" applyBorder="1"/>
    <xf numFmtId="167" fontId="23" fillId="0" borderId="0" xfId="0" applyNumberFormat="1" applyFont="1" applyFill="1" applyProtection="1"/>
    <xf numFmtId="165" fontId="23" fillId="6" borderId="0" xfId="5" applyFont="1" applyFill="1" applyProtection="1">
      <protection locked="0"/>
    </xf>
    <xf numFmtId="0" fontId="3" fillId="9" borderId="0" xfId="0" applyFont="1" applyFill="1"/>
    <xf numFmtId="2" fontId="1" fillId="9" borderId="2" xfId="1" applyNumberFormat="1" applyFont="1" applyFill="1" applyBorder="1"/>
    <xf numFmtId="2" fontId="0" fillId="9" borderId="9" xfId="1" applyNumberFormat="1" applyFont="1" applyFill="1" applyBorder="1"/>
    <xf numFmtId="2" fontId="0" fillId="9" borderId="15" xfId="1" applyNumberFormat="1" applyFont="1" applyFill="1" applyBorder="1"/>
    <xf numFmtId="0" fontId="0" fillId="9" borderId="10" xfId="0" applyFill="1" applyBorder="1"/>
    <xf numFmtId="0" fontId="23" fillId="9" borderId="0" xfId="0" applyFont="1" applyFill="1" applyAlignment="1">
      <alignment vertical="center"/>
    </xf>
    <xf numFmtId="0" fontId="29" fillId="9" borderId="0" xfId="0" applyFont="1" applyFill="1" applyAlignment="1">
      <alignment horizontal="left" vertical="center"/>
    </xf>
    <xf numFmtId="167" fontId="23" fillId="9" borderId="0" xfId="0" applyNumberFormat="1" applyFont="1" applyFill="1" applyAlignment="1">
      <alignment vertical="center"/>
    </xf>
    <xf numFmtId="0" fontId="23" fillId="9" borderId="9" xfId="0" applyFont="1" applyFill="1" applyBorder="1"/>
    <xf numFmtId="0" fontId="23" fillId="9" borderId="0" xfId="0" applyFont="1" applyFill="1"/>
    <xf numFmtId="167" fontId="28" fillId="3" borderId="29" xfId="0" applyNumberFormat="1" applyFont="1" applyFill="1" applyBorder="1"/>
    <xf numFmtId="167" fontId="23" fillId="0" borderId="22" xfId="0" applyNumberFormat="1" applyFont="1" applyBorder="1"/>
    <xf numFmtId="0" fontId="28" fillId="0" borderId="0" xfId="0" applyFont="1" applyAlignment="1">
      <alignment horizontal="left" vertical="center" wrapText="1"/>
    </xf>
    <xf numFmtId="0" fontId="26" fillId="0" borderId="0" xfId="0" applyFont="1"/>
    <xf numFmtId="0" fontId="23" fillId="0" borderId="0" xfId="0" applyFont="1" applyAlignment="1">
      <alignment vertical="center" wrapText="1"/>
    </xf>
    <xf numFmtId="0" fontId="28" fillId="0" borderId="0" xfId="0" applyFont="1" applyAlignment="1">
      <alignment wrapText="1"/>
    </xf>
    <xf numFmtId="167" fontId="23" fillId="0" borderId="0" xfId="0" applyNumberFormat="1" applyFont="1"/>
    <xf numFmtId="0" fontId="34" fillId="5" borderId="0" xfId="0" applyFont="1" applyFill="1" applyAlignment="1">
      <alignment horizontal="left" vertical="center" wrapText="1"/>
    </xf>
    <xf numFmtId="0" fontId="23" fillId="0" borderId="0" xfId="0" applyFont="1" applyProtection="1"/>
    <xf numFmtId="0" fontId="28" fillId="0" borderId="0" xfId="0" applyFont="1" applyProtection="1"/>
    <xf numFmtId="0" fontId="23" fillId="0" borderId="0" xfId="0" applyFont="1" applyAlignment="1" applyProtection="1">
      <alignment wrapText="1"/>
    </xf>
    <xf numFmtId="0" fontId="23" fillId="0" borderId="11" xfId="0" applyFont="1" applyBorder="1" applyProtection="1"/>
    <xf numFmtId="165" fontId="23" fillId="0" borderId="14" xfId="5" applyFont="1" applyBorder="1" applyProtection="1"/>
    <xf numFmtId="165" fontId="23" fillId="0" borderId="0" xfId="5" applyFont="1" applyProtection="1"/>
    <xf numFmtId="0" fontId="23" fillId="0" borderId="32" xfId="0" applyFont="1" applyBorder="1" applyProtection="1"/>
    <xf numFmtId="165" fontId="23" fillId="0" borderId="33" xfId="5" applyFont="1" applyBorder="1" applyProtection="1"/>
    <xf numFmtId="0" fontId="25" fillId="0" borderId="0" xfId="4" applyFont="1" applyAlignment="1">
      <alignment vertical="center" wrapText="1"/>
    </xf>
    <xf numFmtId="0" fontId="22" fillId="0" borderId="0" xfId="0" applyFont="1" applyAlignment="1">
      <alignment vertical="center" wrapText="1"/>
    </xf>
    <xf numFmtId="0" fontId="28" fillId="0" borderId="0" xfId="0" applyFont="1" applyAlignment="1">
      <alignment horizontal="left" vertical="center" wrapText="1"/>
    </xf>
    <xf numFmtId="0" fontId="23" fillId="0" borderId="0" xfId="0" applyFont="1" applyAlignment="1">
      <alignment vertical="center" wrapText="1"/>
    </xf>
    <xf numFmtId="0" fontId="28" fillId="0" borderId="0" xfId="0" applyFont="1" applyAlignment="1">
      <alignment wrapText="1"/>
    </xf>
    <xf numFmtId="0" fontId="28" fillId="0" borderId="0" xfId="0" applyFont="1" applyAlignment="1">
      <alignment vertical="top" wrapText="1"/>
    </xf>
    <xf numFmtId="0" fontId="28" fillId="0" borderId="0" xfId="0" applyFont="1" applyAlignment="1">
      <alignment horizontal="left" vertical="top" wrapText="1"/>
    </xf>
    <xf numFmtId="0" fontId="26" fillId="0" borderId="0" xfId="0" applyFont="1" applyAlignment="1"/>
    <xf numFmtId="0" fontId="23" fillId="0" borderId="0" xfId="0" applyFont="1" applyAlignment="1"/>
    <xf numFmtId="0" fontId="23" fillId="0" borderId="0" xfId="0" applyFont="1" applyAlignment="1" applyProtection="1">
      <alignment horizontal="left" vertical="center" wrapText="1"/>
    </xf>
    <xf numFmtId="0" fontId="23" fillId="0" borderId="0" xfId="0" applyFont="1" applyAlignment="1" applyProtection="1">
      <alignment horizontal="left" vertical="center"/>
    </xf>
    <xf numFmtId="0" fontId="33" fillId="6" borderId="0" xfId="0" applyFont="1" applyFill="1" applyAlignment="1" applyProtection="1">
      <alignment horizontal="left" vertical="top" wrapText="1"/>
    </xf>
    <xf numFmtId="0" fontId="23" fillId="0" borderId="0" xfId="0" applyFont="1" applyAlignment="1" applyProtection="1">
      <alignment vertical="center" wrapText="1"/>
    </xf>
    <xf numFmtId="0" fontId="0" fillId="0" borderId="0" xfId="0" applyAlignment="1" applyProtection="1">
      <alignment vertical="center"/>
    </xf>
    <xf numFmtId="0" fontId="0" fillId="0" borderId="0" xfId="0" applyAlignment="1" applyProtection="1"/>
    <xf numFmtId="0" fontId="34" fillId="5" borderId="0" xfId="0" applyFont="1" applyFill="1" applyAlignment="1">
      <alignment horizontal="left" vertical="center" wrapText="1"/>
    </xf>
    <xf numFmtId="0" fontId="28" fillId="8" borderId="0" xfId="0" applyFont="1" applyFill="1" applyAlignment="1"/>
    <xf numFmtId="167" fontId="23" fillId="0" borderId="0" xfId="0" applyNumberFormat="1" applyFont="1" applyAlignment="1"/>
    <xf numFmtId="167" fontId="23" fillId="0" borderId="22" xfId="0" applyNumberFormat="1" applyFont="1" applyBorder="1" applyAlignment="1"/>
    <xf numFmtId="167" fontId="28" fillId="3" borderId="29" xfId="0" applyNumberFormat="1" applyFont="1" applyFill="1" applyBorder="1" applyAlignment="1"/>
  </cellXfs>
  <cellStyles count="6">
    <cellStyle name="Eingabe" xfId="2" builtinId="20"/>
    <cellStyle name="Komma" xfId="5" builtinId="3"/>
    <cellStyle name="Link" xfId="4" builtinId="8"/>
    <cellStyle name="Prozent" xfId="1" builtinId="5"/>
    <cellStyle name="Standard" xfId="0" builtinId="0"/>
    <cellStyle name="Standard 4" xfId="3" xr:uid="{00000000-0005-0000-0000-000004000000}"/>
  </cellStyles>
  <dxfs count="49">
    <dxf>
      <fill>
        <patternFill>
          <bgColor theme="7" tint="0.79998168889431442"/>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auto="1"/>
      </font>
      <fill>
        <patternFill>
          <fgColor theme="7" tint="0.79998168889431442"/>
          <bgColor theme="7" tint="0.79998168889431442"/>
        </patternFill>
      </fill>
      <border>
        <left/>
        <right/>
        <top/>
        <bottom/>
      </border>
    </dxf>
    <dxf>
      <font>
        <color theme="0"/>
      </font>
    </dxf>
    <dxf>
      <fill>
        <patternFill>
          <fgColor theme="7" tint="0.79998168889431442"/>
          <bgColor theme="7" tint="0.79998168889431442"/>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7" tint="0.79998168889431442"/>
        </patternFill>
      </fill>
    </dxf>
    <dxf>
      <font>
        <color theme="0"/>
      </font>
      <fill>
        <patternFill>
          <fgColor theme="0"/>
          <bgColor theme="0"/>
        </patternFill>
      </fill>
    </dxf>
    <dxf>
      <fill>
        <patternFill>
          <fgColor theme="7" tint="0.79998168889431442"/>
          <bgColor theme="7" tint="0.79998168889431442"/>
        </patternFill>
      </fill>
    </dxf>
    <dxf>
      <fill>
        <patternFill>
          <fgColor theme="0"/>
          <bgColor theme="0"/>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tint="-0.14996795556505021"/>
      </font>
    </dxf>
    <dxf>
      <font>
        <color theme="0"/>
      </font>
      <fill>
        <patternFill>
          <fgColor theme="0"/>
          <bgColor theme="0"/>
        </patternFill>
      </fill>
      <border>
        <left/>
        <right/>
        <top/>
        <bottom/>
        <vertical/>
        <horizontal/>
      </border>
    </dxf>
    <dxf>
      <font>
        <color theme="0"/>
      </font>
      <fill>
        <patternFill>
          <fgColor theme="0"/>
          <bgColor theme="0"/>
        </patternFill>
      </fill>
      <border>
        <left/>
        <right/>
        <top/>
        <bottom/>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169994</xdr:colOff>
      <xdr:row>1</xdr:row>
      <xdr:rowOff>11628</xdr:rowOff>
    </xdr:from>
    <xdr:to>
      <xdr:col>16</xdr:col>
      <xdr:colOff>434451</xdr:colOff>
      <xdr:row>3</xdr:row>
      <xdr:rowOff>169684</xdr:rowOff>
    </xdr:to>
    <xdr:pic>
      <xdr:nvPicPr>
        <xdr:cNvPr id="4" name="Grafik 3">
          <a:extLst>
            <a:ext uri="{FF2B5EF4-FFF2-40B4-BE49-F238E27FC236}">
              <a16:creationId xmlns:a16="http://schemas.microsoft.com/office/drawing/2014/main" id="{74C0D208-4577-0D21-0AD7-DA6E1C783A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1729" y="179716"/>
          <a:ext cx="3626222" cy="5056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76200</xdr:colOff>
      <xdr:row>7</xdr:row>
      <xdr:rowOff>238125</xdr:rowOff>
    </xdr:from>
    <xdr:to>
      <xdr:col>12</xdr:col>
      <xdr:colOff>742950</xdr:colOff>
      <xdr:row>10</xdr:row>
      <xdr:rowOff>200025</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5534025" y="1990725"/>
          <a:ext cx="5238750" cy="771525"/>
        </a:xfrm>
        <a:prstGeom prst="rect">
          <a:avLst/>
        </a:prstGeom>
        <a:solidFill>
          <a:schemeClr val="lt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400" b="1"/>
            <a:t>Herleitung der Berechnung des</a:t>
          </a:r>
          <a:r>
            <a:rPr lang="de-CH" sz="1400" b="1" baseline="0"/>
            <a:t> anspruchsberechtigten Einkommens Nur zur Info, kann nicht bearbeitet werden. Daten gemäss erster Seite.</a:t>
          </a:r>
          <a:endParaRPr lang="de-CH" sz="1400" b="1"/>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z.kibon.ch/web/"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C000"/>
  </sheetPr>
  <dimension ref="A4:AF132"/>
  <sheetViews>
    <sheetView showGridLines="0" tabSelected="1" zoomScaleNormal="100" workbookViewId="0">
      <selection activeCell="D39" sqref="D39"/>
    </sheetView>
  </sheetViews>
  <sheetFormatPr defaultColWidth="11.42578125" defaultRowHeight="12.75" outlineLevelCol="1"/>
  <cols>
    <col min="1" max="1" width="5" style="144" customWidth="1"/>
    <col min="2" max="2" width="17" style="144" customWidth="1"/>
    <col min="3" max="3" width="1" style="144" customWidth="1"/>
    <col min="4" max="4" width="35.140625" style="144" customWidth="1"/>
    <col min="5" max="5" width="1.5703125" style="144" customWidth="1"/>
    <col min="6" max="6" width="22.7109375" style="144" customWidth="1"/>
    <col min="7" max="7" width="2.85546875" style="144" customWidth="1"/>
    <col min="8" max="8" width="31.28515625" style="144" customWidth="1"/>
    <col min="9" max="9" width="1" style="144" customWidth="1"/>
    <col min="10" max="10" width="20.7109375" style="144" customWidth="1"/>
    <col min="11" max="11" width="2.85546875" style="144" customWidth="1"/>
    <col min="12" max="12" width="14" style="144" customWidth="1"/>
    <col min="13" max="13" width="8" style="144" customWidth="1"/>
    <col min="14" max="14" width="8.140625" style="144" customWidth="1"/>
    <col min="15" max="15" width="8.42578125" style="144" customWidth="1"/>
    <col min="16" max="16" width="10.42578125" style="144" bestFit="1" customWidth="1"/>
    <col min="17" max="17" width="8.42578125" style="144" bestFit="1" customWidth="1"/>
    <col min="18" max="19" width="8.42578125" style="144" customWidth="1"/>
    <col min="20" max="20" width="4.85546875" style="144" hidden="1" customWidth="1" outlineLevel="1"/>
    <col min="21" max="21" width="7.42578125" style="144" hidden="1" customWidth="1" outlineLevel="1"/>
    <col min="22" max="22" width="8.7109375" style="144" hidden="1" customWidth="1" outlineLevel="1"/>
    <col min="23" max="23" width="9.140625" style="144" hidden="1" customWidth="1" outlineLevel="1"/>
    <col min="24" max="24" width="11.28515625" style="144" hidden="1" customWidth="1" outlineLevel="1"/>
    <col min="25" max="25" width="7.140625" style="144" hidden="1" customWidth="1" outlineLevel="1"/>
    <col min="26" max="26" width="8.42578125" style="144" hidden="1" customWidth="1" outlineLevel="1"/>
    <col min="27" max="27" width="5.5703125" style="144" hidden="1" customWidth="1" outlineLevel="1"/>
    <col min="28" max="28" width="15.140625" style="144" hidden="1" customWidth="1" outlineLevel="1"/>
    <col min="29" max="29" width="5.5703125" style="144" hidden="1" customWidth="1" outlineLevel="1"/>
    <col min="30" max="30" width="6.7109375" style="144" hidden="1" customWidth="1" outlineLevel="1"/>
    <col min="31" max="31" width="0" style="144" hidden="1" customWidth="1" outlineLevel="1"/>
    <col min="32" max="32" width="11.42578125" style="144" collapsed="1"/>
    <col min="33" max="16384" width="11.42578125" style="144"/>
  </cols>
  <sheetData>
    <row r="4" spans="1:19" ht="27.75">
      <c r="B4" s="145" t="s">
        <v>0</v>
      </c>
    </row>
    <row r="5" spans="1:19" ht="27.75">
      <c r="B5" s="145"/>
    </row>
    <row r="6" spans="1:19" ht="39.75" customHeight="1">
      <c r="B6" s="261" t="s">
        <v>1</v>
      </c>
      <c r="C6" s="261"/>
      <c r="D6" s="261"/>
      <c r="E6" s="261"/>
      <c r="F6" s="261"/>
      <c r="G6" s="261"/>
      <c r="H6" s="261"/>
      <c r="I6" s="261"/>
      <c r="J6" s="261"/>
      <c r="K6" s="261"/>
      <c r="L6" s="261"/>
      <c r="M6" s="261"/>
      <c r="N6" s="261"/>
      <c r="O6" s="261"/>
      <c r="P6" s="261"/>
      <c r="Q6" s="261"/>
      <c r="S6" s="146"/>
    </row>
    <row r="7" spans="1:19" ht="15" customHeight="1">
      <c r="B7" s="260" t="s">
        <v>2</v>
      </c>
      <c r="C7" s="260"/>
      <c r="D7" s="260"/>
      <c r="E7" s="260"/>
      <c r="F7" s="260"/>
      <c r="G7" s="260"/>
      <c r="H7" s="260"/>
      <c r="I7" s="260"/>
      <c r="J7" s="260"/>
      <c r="K7" s="260"/>
      <c r="L7" s="260"/>
      <c r="M7" s="260"/>
      <c r="N7" s="260"/>
      <c r="O7" s="260"/>
      <c r="P7" s="260"/>
      <c r="Q7" s="260"/>
      <c r="S7" s="146"/>
    </row>
    <row r="8" spans="1:19" ht="23.25">
      <c r="A8" s="247"/>
      <c r="B8" s="261" t="s">
        <v>3</v>
      </c>
      <c r="C8" s="261"/>
      <c r="D8" s="261"/>
      <c r="E8" s="261"/>
      <c r="F8" s="261"/>
      <c r="G8" s="261"/>
      <c r="H8" s="261"/>
      <c r="I8" s="261"/>
      <c r="J8" s="261"/>
      <c r="K8" s="261"/>
      <c r="L8" s="261"/>
      <c r="M8" s="261"/>
      <c r="N8" s="261"/>
      <c r="O8" s="261"/>
      <c r="P8" s="261"/>
      <c r="Q8" s="261"/>
    </row>
    <row r="9" spans="1:19" ht="23.25">
      <c r="A9" s="247"/>
      <c r="B9" s="261"/>
      <c r="C9" s="261"/>
      <c r="D9" s="261"/>
      <c r="E9" s="261"/>
      <c r="F9" s="261"/>
      <c r="G9" s="261"/>
      <c r="H9" s="261"/>
      <c r="I9" s="261"/>
      <c r="J9" s="261"/>
      <c r="K9" s="261"/>
      <c r="L9" s="261"/>
      <c r="M9" s="261"/>
      <c r="N9" s="261"/>
      <c r="O9" s="261"/>
      <c r="P9" s="261"/>
      <c r="Q9" s="261"/>
    </row>
    <row r="10" spans="1:19" ht="23.25">
      <c r="A10" s="247"/>
      <c r="B10" s="147"/>
      <c r="C10" s="147"/>
      <c r="D10" s="147"/>
      <c r="E10" s="147"/>
      <c r="F10" s="147"/>
      <c r="G10" s="147"/>
      <c r="H10" s="147"/>
      <c r="I10" s="147"/>
      <c r="J10" s="147"/>
      <c r="K10" s="147"/>
      <c r="L10" s="147"/>
      <c r="M10" s="147"/>
      <c r="N10" s="147"/>
      <c r="O10" s="147"/>
      <c r="P10" s="147"/>
      <c r="Q10" s="147"/>
    </row>
    <row r="11" spans="1:19" ht="3.6" customHeight="1">
      <c r="A11" s="247"/>
      <c r="B11" s="148"/>
      <c r="C11" s="148"/>
      <c r="D11" s="148"/>
      <c r="E11" s="148"/>
      <c r="F11" s="148"/>
      <c r="G11" s="148"/>
      <c r="H11" s="148"/>
      <c r="I11" s="148"/>
      <c r="J11" s="148"/>
      <c r="K11" s="148"/>
      <c r="L11" s="148"/>
      <c r="M11" s="148"/>
      <c r="N11" s="148"/>
      <c r="O11" s="148"/>
      <c r="P11" s="148"/>
      <c r="Q11" s="148"/>
    </row>
    <row r="12" spans="1:19" ht="15" customHeight="1">
      <c r="A12" s="247"/>
      <c r="B12" s="267" t="s">
        <v>4</v>
      </c>
      <c r="D12" s="149" t="s">
        <v>5</v>
      </c>
      <c r="F12" s="150" t="s">
        <v>6</v>
      </c>
      <c r="H12" s="149" t="s">
        <v>7</v>
      </c>
      <c r="J12" s="151"/>
      <c r="K12" s="250"/>
    </row>
    <row r="13" spans="1:19" ht="5.25" customHeight="1">
      <c r="A13" s="247"/>
      <c r="B13" s="267"/>
    </row>
    <row r="14" spans="1:19" ht="27" customHeight="1">
      <c r="A14" s="247"/>
      <c r="B14" s="247"/>
      <c r="D14" s="149" t="s">
        <v>8</v>
      </c>
      <c r="F14" s="151"/>
      <c r="H14" s="149" t="s">
        <v>9</v>
      </c>
      <c r="J14" s="232">
        <f>'Berechnung Liegenschaftsunterh.'!C16</f>
        <v>0</v>
      </c>
      <c r="K14" s="250"/>
      <c r="L14" s="144" t="s">
        <v>10</v>
      </c>
    </row>
    <row r="15" spans="1:19" ht="5.25" customHeight="1">
      <c r="A15" s="247"/>
      <c r="B15" s="247"/>
      <c r="H15" s="149"/>
    </row>
    <row r="16" spans="1:19" ht="15" customHeight="1">
      <c r="A16" s="247"/>
      <c r="B16" s="247"/>
      <c r="D16" s="149" t="s">
        <v>11</v>
      </c>
      <c r="F16" s="151"/>
      <c r="H16" s="149" t="s">
        <v>12</v>
      </c>
      <c r="J16" s="151"/>
      <c r="K16" s="250"/>
    </row>
    <row r="17" spans="1:29" ht="5.25" customHeight="1">
      <c r="A17" s="247"/>
      <c r="B17" s="247"/>
    </row>
    <row r="18" spans="1:29" ht="5.25" customHeight="1">
      <c r="A18" s="247"/>
      <c r="B18" s="247"/>
    </row>
    <row r="19" spans="1:29" ht="15" customHeight="1">
      <c r="A19" s="247"/>
      <c r="B19" s="247"/>
      <c r="D19" s="149" t="s">
        <v>13</v>
      </c>
      <c r="F19" s="150" t="s">
        <v>6</v>
      </c>
      <c r="H19" s="144" t="s">
        <v>14</v>
      </c>
      <c r="J19" s="153" t="s">
        <v>6</v>
      </c>
    </row>
    <row r="20" spans="1:29" ht="5.25" customHeight="1">
      <c r="A20" s="247"/>
      <c r="B20" s="247"/>
      <c r="D20" s="149"/>
    </row>
    <row r="21" spans="1:29" ht="22.5" customHeight="1">
      <c r="A21" s="247"/>
      <c r="D21" s="149"/>
    </row>
    <row r="22" spans="1:29" ht="5.25" customHeight="1">
      <c r="A22" s="247"/>
      <c r="B22" s="154"/>
      <c r="C22" s="148"/>
      <c r="D22" s="155"/>
      <c r="E22" s="148"/>
      <c r="F22" s="148"/>
      <c r="G22" s="148"/>
      <c r="H22" s="148"/>
      <c r="I22" s="148"/>
      <c r="J22" s="148"/>
      <c r="K22" s="148"/>
      <c r="L22" s="148"/>
      <c r="M22" s="148"/>
      <c r="N22" s="148"/>
      <c r="O22" s="148"/>
      <c r="P22" s="148"/>
      <c r="Q22" s="148"/>
    </row>
    <row r="23" spans="1:29" ht="15" customHeight="1">
      <c r="A23" s="247"/>
      <c r="B23" s="267" t="s">
        <v>15</v>
      </c>
      <c r="D23" s="246" t="s">
        <v>16</v>
      </c>
      <c r="F23" s="150" t="s">
        <v>17</v>
      </c>
      <c r="H23" s="144" t="s">
        <v>18</v>
      </c>
      <c r="J23" s="156"/>
      <c r="K23" s="157"/>
      <c r="L23" s="144" t="s">
        <v>19</v>
      </c>
      <c r="U23" s="144" t="s">
        <v>20</v>
      </c>
      <c r="V23" s="144" t="s">
        <v>21</v>
      </c>
      <c r="W23" s="144" t="s">
        <v>22</v>
      </c>
      <c r="X23" s="144" t="s">
        <v>23</v>
      </c>
      <c r="Y23" s="144" t="s">
        <v>24</v>
      </c>
      <c r="AB23" s="144" t="s">
        <v>25</v>
      </c>
      <c r="AC23" s="144">
        <f ca="1">DATEDIF(J23,TODAY(),"M")</f>
        <v>1519</v>
      </c>
    </row>
    <row r="24" spans="1:29" ht="5.25" customHeight="1">
      <c r="A24" s="247"/>
      <c r="B24" s="267"/>
      <c r="D24" s="149"/>
      <c r="U24" s="144">
        <f t="shared" ref="U24:Y27" si="0">IF(M26="x",1,0)</f>
        <v>0</v>
      </c>
      <c r="V24" s="144">
        <f t="shared" si="0"/>
        <v>0</v>
      </c>
      <c r="W24" s="144">
        <f t="shared" si="0"/>
        <v>0</v>
      </c>
      <c r="X24" s="144">
        <f t="shared" si="0"/>
        <v>0</v>
      </c>
      <c r="Y24" s="144">
        <f t="shared" si="0"/>
        <v>0</v>
      </c>
    </row>
    <row r="25" spans="1:29" ht="15" customHeight="1">
      <c r="A25" s="247"/>
      <c r="B25" s="247"/>
      <c r="D25" s="263" t="s">
        <v>26</v>
      </c>
      <c r="F25" s="150" t="s">
        <v>6</v>
      </c>
      <c r="H25" s="144" t="s">
        <v>27</v>
      </c>
      <c r="J25" s="150" t="s">
        <v>28</v>
      </c>
      <c r="M25" s="144" t="s">
        <v>20</v>
      </c>
      <c r="N25" s="144" t="s">
        <v>21</v>
      </c>
      <c r="O25" s="144" t="s">
        <v>22</v>
      </c>
      <c r="P25" s="144" t="s">
        <v>23</v>
      </c>
      <c r="Q25" s="144" t="s">
        <v>24</v>
      </c>
      <c r="U25" s="144">
        <f t="shared" si="0"/>
        <v>0</v>
      </c>
      <c r="V25" s="144">
        <f t="shared" si="0"/>
        <v>0</v>
      </c>
      <c r="W25" s="144">
        <f t="shared" si="0"/>
        <v>0</v>
      </c>
      <c r="X25" s="144">
        <f t="shared" si="0"/>
        <v>0</v>
      </c>
      <c r="Y25" s="144">
        <f t="shared" si="0"/>
        <v>0</v>
      </c>
      <c r="AB25" s="144" t="s">
        <v>29</v>
      </c>
      <c r="AC25" s="144">
        <f>SUM(U25:Y25)</f>
        <v>0</v>
      </c>
    </row>
    <row r="26" spans="1:29" ht="15" customHeight="1">
      <c r="A26" s="247"/>
      <c r="B26" s="247"/>
      <c r="D26" s="263"/>
      <c r="F26" s="248"/>
      <c r="L26" s="144" t="s">
        <v>30</v>
      </c>
      <c r="M26" s="158"/>
      <c r="N26" s="159"/>
      <c r="O26" s="159"/>
      <c r="P26" s="159"/>
      <c r="Q26" s="159"/>
      <c r="U26" s="144">
        <f t="shared" si="0"/>
        <v>0</v>
      </c>
      <c r="V26" s="144">
        <f t="shared" si="0"/>
        <v>0</v>
      </c>
      <c r="W26" s="144">
        <f t="shared" si="0"/>
        <v>0</v>
      </c>
      <c r="X26" s="144">
        <f t="shared" si="0"/>
        <v>0</v>
      </c>
      <c r="Y26" s="144">
        <f t="shared" si="0"/>
        <v>0</v>
      </c>
    </row>
    <row r="27" spans="1:29" ht="15" customHeight="1">
      <c r="A27" s="247"/>
      <c r="B27" s="247"/>
      <c r="D27" s="149" t="s">
        <v>31</v>
      </c>
      <c r="F27" s="160"/>
      <c r="G27" s="248"/>
      <c r="H27" s="144" t="s">
        <v>32</v>
      </c>
      <c r="L27" s="144" t="s">
        <v>33</v>
      </c>
      <c r="M27" s="161"/>
      <c r="N27" s="162"/>
      <c r="O27" s="162"/>
      <c r="P27" s="162"/>
      <c r="Q27" s="162"/>
      <c r="U27" s="144">
        <f t="shared" si="0"/>
        <v>1</v>
      </c>
      <c r="V27" s="144">
        <f t="shared" si="0"/>
        <v>0</v>
      </c>
      <c r="W27" s="144">
        <f t="shared" si="0"/>
        <v>0</v>
      </c>
      <c r="X27" s="144">
        <f t="shared" si="0"/>
        <v>0</v>
      </c>
      <c r="Y27" s="144">
        <f t="shared" si="0"/>
        <v>0</v>
      </c>
      <c r="Z27" s="144" t="s">
        <v>34</v>
      </c>
      <c r="AA27" s="144" t="s">
        <v>35</v>
      </c>
    </row>
    <row r="28" spans="1:29" ht="15.75" customHeight="1">
      <c r="A28" s="247"/>
      <c r="B28" s="247"/>
      <c r="D28" s="149" t="s">
        <v>36</v>
      </c>
      <c r="F28" s="163"/>
      <c r="H28" s="164" t="s">
        <v>37</v>
      </c>
      <c r="J28" s="150"/>
      <c r="L28" s="144" t="s">
        <v>38</v>
      </c>
      <c r="M28" s="161"/>
      <c r="N28" s="162"/>
      <c r="O28" s="162"/>
      <c r="P28" s="162"/>
      <c r="Q28" s="162"/>
      <c r="T28" s="144" t="s">
        <v>39</v>
      </c>
      <c r="U28" s="144">
        <f>U24*4.5+U25*2.5+U26*3</f>
        <v>0</v>
      </c>
      <c r="V28" s="144">
        <f t="shared" ref="V28:Y28" si="1">V24*4.5+V25*2.5+V26*3</f>
        <v>0</v>
      </c>
      <c r="W28" s="144">
        <f t="shared" si="1"/>
        <v>0</v>
      </c>
      <c r="X28" s="144">
        <f t="shared" si="1"/>
        <v>0</v>
      </c>
      <c r="Y28" s="144">
        <f t="shared" si="1"/>
        <v>0</v>
      </c>
      <c r="Z28" s="144">
        <f>SUM(U28:Y28)</f>
        <v>0</v>
      </c>
      <c r="AA28" s="144">
        <f>Z28/10</f>
        <v>0</v>
      </c>
    </row>
    <row r="29" spans="1:29" ht="15" customHeight="1">
      <c r="A29" s="247"/>
      <c r="B29" s="247"/>
      <c r="D29" s="149" t="s">
        <v>40</v>
      </c>
      <c r="F29" s="160"/>
      <c r="H29" s="164" t="s">
        <v>41</v>
      </c>
      <c r="J29" s="150"/>
      <c r="L29" s="144" t="s">
        <v>42</v>
      </c>
      <c r="M29" s="161" t="s">
        <v>43</v>
      </c>
      <c r="N29" s="162"/>
      <c r="O29" s="162"/>
      <c r="P29" s="162"/>
      <c r="Q29" s="162"/>
      <c r="T29" s="144" t="s">
        <v>44</v>
      </c>
      <c r="U29" s="144">
        <f>U24*1.5+U25*2.5+U26*2+U27*2</f>
        <v>2</v>
      </c>
      <c r="V29" s="144">
        <f>V24*1.5+V25*2.5+V26*2+V27*2</f>
        <v>0</v>
      </c>
      <c r="W29" s="144">
        <f>W24*1.5+W25*2.5+W26*2+W27*2</f>
        <v>0</v>
      </c>
      <c r="X29" s="144">
        <f>X24*1.5+X25*2.5+X26*2+X27*2</f>
        <v>0</v>
      </c>
      <c r="Y29" s="144">
        <f>Y24*1.5+Y25*2.5+Y26*2+Y27*2</f>
        <v>0</v>
      </c>
      <c r="Z29" s="144">
        <f>SUM(U29:Y29)</f>
        <v>2</v>
      </c>
      <c r="AA29" s="144">
        <f>Z29/8</f>
        <v>0.25</v>
      </c>
    </row>
    <row r="30" spans="1:29" ht="15" customHeight="1">
      <c r="A30" s="247"/>
      <c r="B30" s="247"/>
      <c r="D30" s="149"/>
      <c r="F30" s="165"/>
    </row>
    <row r="31" spans="1:29" ht="4.1500000000000004" customHeight="1">
      <c r="A31" s="247"/>
      <c r="B31" s="247"/>
      <c r="C31" s="148"/>
      <c r="D31" s="155"/>
      <c r="E31" s="148"/>
      <c r="F31" s="148"/>
      <c r="G31" s="148"/>
      <c r="H31" s="148"/>
      <c r="I31" s="148"/>
      <c r="J31" s="148"/>
      <c r="K31" s="148"/>
      <c r="L31" s="148"/>
      <c r="M31" s="148"/>
      <c r="N31" s="148"/>
      <c r="O31" s="148"/>
      <c r="P31" s="148"/>
      <c r="Q31" s="148"/>
    </row>
    <row r="32" spans="1:29" ht="15" customHeight="1">
      <c r="A32" s="247"/>
      <c r="B32" s="247"/>
      <c r="D32" s="246" t="s">
        <v>45</v>
      </c>
      <c r="F32" s="150" t="s">
        <v>46</v>
      </c>
      <c r="H32" s="144" t="s">
        <v>18</v>
      </c>
      <c r="J32" s="156"/>
      <c r="K32" s="157"/>
      <c r="L32" s="144" t="s">
        <v>19</v>
      </c>
    </row>
    <row r="33" spans="1:29" ht="5.25" customHeight="1">
      <c r="A33" s="247"/>
      <c r="B33" s="247"/>
      <c r="D33" s="149"/>
    </row>
    <row r="34" spans="1:29" ht="15" customHeight="1">
      <c r="A34" s="247"/>
      <c r="B34" s="247"/>
      <c r="D34" s="263" t="s">
        <v>26</v>
      </c>
      <c r="F34" s="150" t="s">
        <v>6</v>
      </c>
      <c r="H34" s="144" t="s">
        <v>27</v>
      </c>
      <c r="J34" s="150" t="s">
        <v>6</v>
      </c>
      <c r="M34" s="144" t="s">
        <v>20</v>
      </c>
      <c r="N34" s="144" t="s">
        <v>21</v>
      </c>
      <c r="O34" s="144" t="s">
        <v>22</v>
      </c>
      <c r="P34" s="144" t="s">
        <v>23</v>
      </c>
      <c r="Q34" s="144" t="s">
        <v>24</v>
      </c>
      <c r="U34" s="144">
        <f t="shared" ref="U34:Y37" si="2">IF(M35="x",1,0)</f>
        <v>0</v>
      </c>
      <c r="V34" s="144">
        <f t="shared" si="2"/>
        <v>0</v>
      </c>
      <c r="W34" s="144">
        <f t="shared" si="2"/>
        <v>0</v>
      </c>
      <c r="X34" s="144">
        <f t="shared" si="2"/>
        <v>0</v>
      </c>
      <c r="Y34" s="144">
        <f t="shared" si="2"/>
        <v>0</v>
      </c>
      <c r="AB34" s="144" t="s">
        <v>25</v>
      </c>
      <c r="AC34" s="144">
        <f ca="1">DATEDIF(J32,TODAY(),"M")</f>
        <v>1519</v>
      </c>
    </row>
    <row r="35" spans="1:29" ht="15" customHeight="1">
      <c r="A35" s="247"/>
      <c r="B35" s="247"/>
      <c r="D35" s="263"/>
      <c r="L35" s="144" t="s">
        <v>30</v>
      </c>
      <c r="M35" s="158"/>
      <c r="N35" s="159"/>
      <c r="O35" s="159"/>
      <c r="P35" s="159"/>
      <c r="Q35" s="159"/>
      <c r="U35" s="144">
        <f t="shared" si="2"/>
        <v>0</v>
      </c>
      <c r="V35" s="144">
        <f t="shared" si="2"/>
        <v>0</v>
      </c>
      <c r="W35" s="144">
        <f t="shared" si="2"/>
        <v>0</v>
      </c>
      <c r="X35" s="144">
        <f t="shared" si="2"/>
        <v>0</v>
      </c>
      <c r="Y35" s="144">
        <f t="shared" si="2"/>
        <v>0</v>
      </c>
    </row>
    <row r="36" spans="1:29" ht="15" customHeight="1">
      <c r="A36" s="247"/>
      <c r="B36" s="247"/>
      <c r="D36" s="149" t="s">
        <v>31</v>
      </c>
      <c r="F36" s="160"/>
      <c r="H36" s="144" t="s">
        <v>32</v>
      </c>
      <c r="L36" s="144" t="s">
        <v>33</v>
      </c>
      <c r="M36" s="161"/>
      <c r="N36" s="162"/>
      <c r="O36" s="162"/>
      <c r="P36" s="162"/>
      <c r="Q36" s="162"/>
      <c r="U36" s="144">
        <f t="shared" si="2"/>
        <v>0</v>
      </c>
      <c r="V36" s="144">
        <f t="shared" si="2"/>
        <v>0</v>
      </c>
      <c r="W36" s="144">
        <f t="shared" si="2"/>
        <v>0</v>
      </c>
      <c r="X36" s="144">
        <f t="shared" si="2"/>
        <v>0</v>
      </c>
      <c r="Y36" s="144">
        <f t="shared" si="2"/>
        <v>0</v>
      </c>
      <c r="AB36" s="144" t="s">
        <v>29</v>
      </c>
      <c r="AC36" s="144">
        <f>SUM(U35:Y35)</f>
        <v>0</v>
      </c>
    </row>
    <row r="37" spans="1:29" ht="15" customHeight="1">
      <c r="A37" s="247"/>
      <c r="B37" s="247"/>
      <c r="D37" s="149" t="s">
        <v>36</v>
      </c>
      <c r="F37" s="160"/>
      <c r="H37" s="164" t="s">
        <v>37</v>
      </c>
      <c r="J37" s="150"/>
      <c r="L37" s="144" t="s">
        <v>38</v>
      </c>
      <c r="M37" s="161"/>
      <c r="N37" s="162"/>
      <c r="O37" s="162"/>
      <c r="P37" s="162"/>
      <c r="Q37" s="162"/>
      <c r="U37" s="144">
        <f t="shared" si="2"/>
        <v>1</v>
      </c>
      <c r="V37" s="144">
        <f t="shared" si="2"/>
        <v>0</v>
      </c>
      <c r="W37" s="144">
        <f t="shared" si="2"/>
        <v>0</v>
      </c>
      <c r="X37" s="144">
        <f t="shared" si="2"/>
        <v>0</v>
      </c>
      <c r="Y37" s="144">
        <f t="shared" si="2"/>
        <v>0</v>
      </c>
      <c r="Z37" s="144" t="s">
        <v>34</v>
      </c>
      <c r="AA37" s="144" t="s">
        <v>35</v>
      </c>
    </row>
    <row r="38" spans="1:29" ht="15" customHeight="1">
      <c r="A38" s="247"/>
      <c r="B38" s="247"/>
      <c r="D38" s="149" t="s">
        <v>40</v>
      </c>
      <c r="F38" s="160"/>
      <c r="H38" s="164" t="s">
        <v>41</v>
      </c>
      <c r="J38" s="150"/>
      <c r="L38" s="144" t="s">
        <v>42</v>
      </c>
      <c r="M38" s="161" t="s">
        <v>43</v>
      </c>
      <c r="N38" s="162"/>
      <c r="O38" s="162"/>
      <c r="P38" s="162"/>
      <c r="Q38" s="162"/>
      <c r="T38" s="144" t="s">
        <v>39</v>
      </c>
      <c r="U38" s="144">
        <f>U34*4.5+U35*2.5+U36*3</f>
        <v>0</v>
      </c>
      <c r="V38" s="144">
        <f t="shared" ref="V38:Y38" si="3">V34*4.5+V35*2.5+V36*3</f>
        <v>0</v>
      </c>
      <c r="W38" s="144">
        <f t="shared" si="3"/>
        <v>0</v>
      </c>
      <c r="X38" s="144">
        <f t="shared" si="3"/>
        <v>0</v>
      </c>
      <c r="Y38" s="144">
        <f t="shared" si="3"/>
        <v>0</v>
      </c>
      <c r="Z38" s="144">
        <f>SUM(U38:Y38)</f>
        <v>0</v>
      </c>
      <c r="AA38" s="144">
        <f>Z38/10</f>
        <v>0</v>
      </c>
    </row>
    <row r="39" spans="1:29" ht="15.6" customHeight="1">
      <c r="A39" s="247"/>
      <c r="B39" s="247"/>
      <c r="D39" s="149"/>
      <c r="T39" s="144" t="s">
        <v>44</v>
      </c>
      <c r="U39" s="144">
        <f>U34*1.5+U35*2.5+U36*2+U37*2</f>
        <v>2</v>
      </c>
      <c r="V39" s="144">
        <f>V34*1.5+V35*2.5+V36*2+V37*2</f>
        <v>0</v>
      </c>
      <c r="W39" s="144">
        <f>W34*1.5+W35*2.5+W36*2+W37*2</f>
        <v>0</v>
      </c>
      <c r="X39" s="144">
        <f>X34*1.5+X35*2.5+X36*2+X37*2</f>
        <v>0</v>
      </c>
      <c r="Y39" s="144">
        <f>Y34*1.5+Y35*2.5+Y36*2+Y37*2</f>
        <v>0</v>
      </c>
      <c r="Z39" s="144">
        <f>SUM(U39:Y39)</f>
        <v>2</v>
      </c>
      <c r="AA39" s="144">
        <f>Z39/8</f>
        <v>0.25</v>
      </c>
    </row>
    <row r="40" spans="1:29" ht="4.1500000000000004" customHeight="1">
      <c r="A40" s="247"/>
      <c r="B40" s="247"/>
      <c r="C40" s="148"/>
      <c r="D40" s="155"/>
      <c r="E40" s="148"/>
      <c r="F40" s="148"/>
      <c r="G40" s="148"/>
      <c r="H40" s="148"/>
      <c r="I40" s="148"/>
      <c r="J40" s="148"/>
      <c r="K40" s="148"/>
      <c r="L40" s="148"/>
      <c r="M40" s="148"/>
      <c r="N40" s="148"/>
      <c r="O40" s="148"/>
      <c r="P40" s="148"/>
      <c r="Q40" s="148"/>
    </row>
    <row r="41" spans="1:29" ht="15" customHeight="1">
      <c r="A41" s="247"/>
      <c r="B41" s="247"/>
      <c r="D41" s="246" t="s">
        <v>47</v>
      </c>
      <c r="F41" s="150" t="s">
        <v>17</v>
      </c>
      <c r="H41" s="144" t="s">
        <v>18</v>
      </c>
      <c r="J41" s="156"/>
      <c r="K41" s="157"/>
      <c r="L41" s="144" t="s">
        <v>19</v>
      </c>
    </row>
    <row r="42" spans="1:29" ht="4.1500000000000004" customHeight="1">
      <c r="A42" s="247"/>
      <c r="B42" s="247"/>
      <c r="D42" s="149"/>
    </row>
    <row r="43" spans="1:29" ht="15" customHeight="1">
      <c r="A43" s="247"/>
      <c r="B43" s="247"/>
      <c r="D43" s="263" t="s">
        <v>26</v>
      </c>
      <c r="F43" s="150" t="s">
        <v>6</v>
      </c>
      <c r="H43" s="144" t="s">
        <v>27</v>
      </c>
      <c r="J43" s="150" t="s">
        <v>6</v>
      </c>
      <c r="M43" s="144" t="s">
        <v>20</v>
      </c>
      <c r="N43" s="144" t="s">
        <v>21</v>
      </c>
      <c r="O43" s="144" t="s">
        <v>22</v>
      </c>
      <c r="P43" s="144" t="s">
        <v>23</v>
      </c>
      <c r="Q43" s="144" t="s">
        <v>24</v>
      </c>
      <c r="U43" s="144">
        <f t="shared" ref="U43:Y46" si="4">IF(M44="x",1,0)</f>
        <v>0</v>
      </c>
      <c r="V43" s="144">
        <f t="shared" si="4"/>
        <v>0</v>
      </c>
      <c r="W43" s="144">
        <f t="shared" si="4"/>
        <v>0</v>
      </c>
      <c r="X43" s="144">
        <f t="shared" si="4"/>
        <v>0</v>
      </c>
      <c r="Y43" s="144">
        <f t="shared" si="4"/>
        <v>0</v>
      </c>
      <c r="AB43" s="144" t="s">
        <v>25</v>
      </c>
      <c r="AC43" s="144">
        <f ca="1">DATEDIF(J41,TODAY(),"M")</f>
        <v>1519</v>
      </c>
    </row>
    <row r="44" spans="1:29" ht="15" customHeight="1">
      <c r="A44" s="247"/>
      <c r="B44" s="247"/>
      <c r="D44" s="263"/>
      <c r="L44" s="144" t="s">
        <v>30</v>
      </c>
      <c r="M44" s="158"/>
      <c r="N44" s="159"/>
      <c r="O44" s="159"/>
      <c r="P44" s="159"/>
      <c r="Q44" s="159"/>
      <c r="U44" s="144">
        <f t="shared" si="4"/>
        <v>0</v>
      </c>
      <c r="V44" s="144">
        <f t="shared" si="4"/>
        <v>0</v>
      </c>
      <c r="W44" s="144">
        <f t="shared" si="4"/>
        <v>0</v>
      </c>
      <c r="X44" s="144">
        <f t="shared" si="4"/>
        <v>0</v>
      </c>
      <c r="Y44" s="144">
        <f t="shared" si="4"/>
        <v>0</v>
      </c>
    </row>
    <row r="45" spans="1:29" ht="15" customHeight="1">
      <c r="A45" s="247"/>
      <c r="B45" s="247"/>
      <c r="D45" s="149" t="s">
        <v>31</v>
      </c>
      <c r="F45" s="160"/>
      <c r="H45" s="144" t="s">
        <v>32</v>
      </c>
      <c r="L45" s="144" t="s">
        <v>33</v>
      </c>
      <c r="M45" s="161"/>
      <c r="N45" s="162"/>
      <c r="O45" s="162"/>
      <c r="P45" s="162"/>
      <c r="Q45" s="162"/>
      <c r="U45" s="144">
        <f t="shared" si="4"/>
        <v>0</v>
      </c>
      <c r="V45" s="144">
        <f t="shared" si="4"/>
        <v>0</v>
      </c>
      <c r="W45" s="144">
        <f t="shared" si="4"/>
        <v>0</v>
      </c>
      <c r="X45" s="144">
        <f t="shared" si="4"/>
        <v>0</v>
      </c>
      <c r="Y45" s="144">
        <f t="shared" si="4"/>
        <v>0</v>
      </c>
      <c r="AB45" s="144" t="s">
        <v>29</v>
      </c>
      <c r="AC45" s="144">
        <f>SUM(U44:Y44)</f>
        <v>0</v>
      </c>
    </row>
    <row r="46" spans="1:29" ht="15" customHeight="1">
      <c r="A46" s="247"/>
      <c r="B46" s="247"/>
      <c r="D46" s="149" t="s">
        <v>36</v>
      </c>
      <c r="F46" s="160">
        <v>0</v>
      </c>
      <c r="H46" s="164" t="s">
        <v>37</v>
      </c>
      <c r="J46" s="150">
        <v>0</v>
      </c>
      <c r="L46" s="144" t="s">
        <v>38</v>
      </c>
      <c r="M46" s="161"/>
      <c r="N46" s="162"/>
      <c r="O46" s="162"/>
      <c r="P46" s="162"/>
      <c r="Q46" s="162"/>
      <c r="U46" s="144">
        <f t="shared" si="4"/>
        <v>0</v>
      </c>
      <c r="V46" s="144">
        <f t="shared" si="4"/>
        <v>0</v>
      </c>
      <c r="W46" s="144">
        <f t="shared" si="4"/>
        <v>0</v>
      </c>
      <c r="X46" s="144">
        <f t="shared" si="4"/>
        <v>0</v>
      </c>
      <c r="Y46" s="144">
        <f t="shared" si="4"/>
        <v>0</v>
      </c>
      <c r="Z46" s="144" t="s">
        <v>34</v>
      </c>
      <c r="AA46" s="144" t="s">
        <v>35</v>
      </c>
    </row>
    <row r="47" spans="1:29" ht="15" customHeight="1">
      <c r="A47" s="247"/>
      <c r="B47" s="247"/>
      <c r="D47" s="149" t="s">
        <v>40</v>
      </c>
      <c r="F47" s="160"/>
      <c r="H47" s="164" t="s">
        <v>41</v>
      </c>
      <c r="J47" s="150">
        <v>0</v>
      </c>
      <c r="L47" s="144" t="s">
        <v>42</v>
      </c>
      <c r="M47" s="161"/>
      <c r="N47" s="162"/>
      <c r="O47" s="162"/>
      <c r="P47" s="162"/>
      <c r="Q47" s="162"/>
      <c r="T47" s="144" t="s">
        <v>39</v>
      </c>
      <c r="U47" s="144">
        <f>U43*4.5+U44*2.5+U45*3</f>
        <v>0</v>
      </c>
      <c r="V47" s="144">
        <f>V43*4.5+V44*2.5+V45*3</f>
        <v>0</v>
      </c>
      <c r="W47" s="144">
        <f>W43*4.5+W44*2.5+W45*3</f>
        <v>0</v>
      </c>
      <c r="X47" s="144">
        <f>X43*4.5+X44*2.5+X45*3</f>
        <v>0</v>
      </c>
      <c r="Y47" s="144">
        <f>Y43*4.5+Y44*2.5+Y45*3</f>
        <v>0</v>
      </c>
      <c r="Z47" s="144">
        <f>SUM(U47:Y47)</f>
        <v>0</v>
      </c>
      <c r="AA47" s="144">
        <f>Z47/10</f>
        <v>0</v>
      </c>
    </row>
    <row r="48" spans="1:29" ht="15" customHeight="1">
      <c r="A48" s="247"/>
      <c r="B48" s="247"/>
      <c r="D48" s="149"/>
      <c r="T48" s="144" t="s">
        <v>44</v>
      </c>
      <c r="U48" s="144">
        <f>U43*1.5+U44*2.5+U45*2+U46*2</f>
        <v>0</v>
      </c>
      <c r="V48" s="144">
        <f>V43*1.5+V44*2.5+V45*2+V46*2</f>
        <v>0</v>
      </c>
      <c r="W48" s="144">
        <f>W43*1.5+W44*2.5+W45*2+W46*2</f>
        <v>0</v>
      </c>
      <c r="X48" s="144">
        <f>X43*1.5+X44*2.5+X45*2+X46*2</f>
        <v>0</v>
      </c>
      <c r="Y48" s="144">
        <f>Y43*1.5+Y44*2.5+Y45*2+Y46*2</f>
        <v>0</v>
      </c>
      <c r="Z48" s="144">
        <f>SUM(U48:Y48)</f>
        <v>0</v>
      </c>
      <c r="AA48" s="144">
        <f>Z48/8</f>
        <v>0</v>
      </c>
    </row>
    <row r="49" spans="1:29" ht="4.1500000000000004" customHeight="1">
      <c r="A49" s="247"/>
      <c r="B49" s="247"/>
      <c r="C49" s="148"/>
      <c r="D49" s="155"/>
      <c r="E49" s="148"/>
      <c r="F49" s="148"/>
      <c r="G49" s="148"/>
      <c r="H49" s="148"/>
      <c r="I49" s="148"/>
      <c r="J49" s="148"/>
      <c r="K49" s="148"/>
      <c r="L49" s="148"/>
      <c r="M49" s="148"/>
      <c r="N49" s="148"/>
      <c r="O49" s="148"/>
      <c r="P49" s="148"/>
      <c r="Q49" s="148"/>
    </row>
    <row r="50" spans="1:29" ht="15" customHeight="1">
      <c r="A50" s="247"/>
      <c r="B50" s="247"/>
      <c r="D50" s="246" t="s">
        <v>48</v>
      </c>
      <c r="F50" s="150" t="s">
        <v>17</v>
      </c>
      <c r="H50" s="144" t="s">
        <v>18</v>
      </c>
      <c r="J50" s="156"/>
      <c r="K50" s="157"/>
      <c r="L50" s="144" t="s">
        <v>19</v>
      </c>
    </row>
    <row r="51" spans="1:29" ht="5.25" customHeight="1">
      <c r="A51" s="247"/>
      <c r="B51" s="247"/>
      <c r="D51" s="149"/>
    </row>
    <row r="52" spans="1:29" ht="15" customHeight="1">
      <c r="A52" s="247"/>
      <c r="B52" s="247"/>
      <c r="D52" s="263" t="s">
        <v>26</v>
      </c>
      <c r="F52" s="150" t="s">
        <v>6</v>
      </c>
      <c r="H52" s="144" t="s">
        <v>27</v>
      </c>
      <c r="J52" s="150" t="s">
        <v>6</v>
      </c>
      <c r="M52" s="144" t="s">
        <v>20</v>
      </c>
      <c r="N52" s="144" t="s">
        <v>21</v>
      </c>
      <c r="O52" s="144" t="s">
        <v>22</v>
      </c>
      <c r="P52" s="144" t="s">
        <v>23</v>
      </c>
      <c r="Q52" s="144" t="s">
        <v>24</v>
      </c>
      <c r="U52" s="144">
        <f t="shared" ref="U52:Y55" si="5">IF(M53="x",1,0)</f>
        <v>0</v>
      </c>
      <c r="V52" s="144">
        <f t="shared" si="5"/>
        <v>0</v>
      </c>
      <c r="W52" s="144">
        <f t="shared" si="5"/>
        <v>0</v>
      </c>
      <c r="X52" s="144">
        <f t="shared" si="5"/>
        <v>0</v>
      </c>
      <c r="Y52" s="144">
        <f t="shared" si="5"/>
        <v>0</v>
      </c>
      <c r="AB52" s="144" t="s">
        <v>25</v>
      </c>
      <c r="AC52" s="144">
        <f ca="1">DATEDIF(J50,TODAY(),"M")</f>
        <v>1519</v>
      </c>
    </row>
    <row r="53" spans="1:29" ht="15" customHeight="1">
      <c r="A53" s="247"/>
      <c r="B53" s="247"/>
      <c r="D53" s="263"/>
      <c r="L53" s="144" t="s">
        <v>30</v>
      </c>
      <c r="M53" s="158"/>
      <c r="N53" s="159"/>
      <c r="O53" s="159"/>
      <c r="P53" s="159"/>
      <c r="Q53" s="159"/>
      <c r="U53" s="144">
        <f t="shared" si="5"/>
        <v>0</v>
      </c>
      <c r="V53" s="144">
        <f t="shared" si="5"/>
        <v>0</v>
      </c>
      <c r="W53" s="144">
        <f t="shared" si="5"/>
        <v>0</v>
      </c>
      <c r="X53" s="144">
        <f t="shared" si="5"/>
        <v>0</v>
      </c>
      <c r="Y53" s="144">
        <f t="shared" si="5"/>
        <v>0</v>
      </c>
    </row>
    <row r="54" spans="1:29" ht="15" customHeight="1">
      <c r="A54" s="247"/>
      <c r="B54" s="247"/>
      <c r="D54" s="149" t="s">
        <v>31</v>
      </c>
      <c r="F54" s="160"/>
      <c r="H54" s="144" t="s">
        <v>32</v>
      </c>
      <c r="L54" s="144" t="s">
        <v>33</v>
      </c>
      <c r="M54" s="161"/>
      <c r="N54" s="162"/>
      <c r="O54" s="162"/>
      <c r="P54" s="162"/>
      <c r="Q54" s="162"/>
      <c r="U54" s="144">
        <f t="shared" si="5"/>
        <v>0</v>
      </c>
      <c r="V54" s="144">
        <f t="shared" si="5"/>
        <v>0</v>
      </c>
      <c r="W54" s="144">
        <f t="shared" si="5"/>
        <v>0</v>
      </c>
      <c r="X54" s="144">
        <f t="shared" si="5"/>
        <v>0</v>
      </c>
      <c r="Y54" s="144">
        <f t="shared" si="5"/>
        <v>0</v>
      </c>
      <c r="AB54" s="144" t="s">
        <v>29</v>
      </c>
      <c r="AC54" s="144">
        <f>SUM(U53:Y53)</f>
        <v>0</v>
      </c>
    </row>
    <row r="55" spans="1:29" ht="15" customHeight="1">
      <c r="A55" s="247"/>
      <c r="B55" s="247"/>
      <c r="D55" s="149" t="s">
        <v>36</v>
      </c>
      <c r="F55" s="160">
        <v>0</v>
      </c>
      <c r="H55" s="164" t="s">
        <v>37</v>
      </c>
      <c r="J55" s="150">
        <v>0</v>
      </c>
      <c r="L55" s="144" t="s">
        <v>38</v>
      </c>
      <c r="M55" s="161"/>
      <c r="N55" s="162"/>
      <c r="O55" s="162"/>
      <c r="P55" s="162"/>
      <c r="Q55" s="162"/>
      <c r="U55" s="144">
        <f t="shared" si="5"/>
        <v>0</v>
      </c>
      <c r="V55" s="144">
        <f t="shared" si="5"/>
        <v>0</v>
      </c>
      <c r="W55" s="144">
        <f t="shared" si="5"/>
        <v>0</v>
      </c>
      <c r="X55" s="144">
        <f t="shared" si="5"/>
        <v>0</v>
      </c>
      <c r="Y55" s="144">
        <f t="shared" si="5"/>
        <v>0</v>
      </c>
      <c r="Z55" s="144" t="s">
        <v>34</v>
      </c>
      <c r="AA55" s="144" t="s">
        <v>35</v>
      </c>
    </row>
    <row r="56" spans="1:29" ht="15" customHeight="1">
      <c r="A56" s="247"/>
      <c r="B56" s="247"/>
      <c r="D56" s="149" t="s">
        <v>40</v>
      </c>
      <c r="F56" s="160"/>
      <c r="H56" s="164" t="s">
        <v>41</v>
      </c>
      <c r="J56" s="150">
        <v>0</v>
      </c>
      <c r="L56" s="144" t="s">
        <v>42</v>
      </c>
      <c r="M56" s="161"/>
      <c r="N56" s="162"/>
      <c r="O56" s="162"/>
      <c r="P56" s="162"/>
      <c r="Q56" s="162"/>
      <c r="T56" s="144" t="s">
        <v>39</v>
      </c>
      <c r="U56" s="144">
        <f>U52*4.5+U53*2.5+U54*3</f>
        <v>0</v>
      </c>
      <c r="V56" s="144">
        <f t="shared" ref="V56:Y56" si="6">V52*4.5+V53*2.5+V54*3</f>
        <v>0</v>
      </c>
      <c r="W56" s="144">
        <f t="shared" si="6"/>
        <v>0</v>
      </c>
      <c r="X56" s="144">
        <f t="shared" si="6"/>
        <v>0</v>
      </c>
      <c r="Y56" s="144">
        <f t="shared" si="6"/>
        <v>0</v>
      </c>
      <c r="Z56" s="144">
        <f>SUM(U56:Y56)</f>
        <v>0</v>
      </c>
      <c r="AA56" s="144">
        <f>Z56/10</f>
        <v>0</v>
      </c>
    </row>
    <row r="57" spans="1:29" ht="11.45" customHeight="1">
      <c r="A57" s="247"/>
      <c r="B57" s="247"/>
      <c r="D57" s="149"/>
      <c r="T57" s="144" t="s">
        <v>44</v>
      </c>
      <c r="U57" s="144">
        <f>U52*1.5+U53*2.5+U54*2+U55*2</f>
        <v>0</v>
      </c>
      <c r="V57" s="144">
        <f>V52*1.5+V53*2.5+V54*2+V55*2</f>
        <v>0</v>
      </c>
      <c r="W57" s="144">
        <f>W52*1.5+W53*2.5+W54*2+W55*2</f>
        <v>0</v>
      </c>
      <c r="X57" s="144">
        <f>X52*1.5+X53*2.5+X54*2+X55*2</f>
        <v>0</v>
      </c>
      <c r="Y57" s="144">
        <f>Y52*1.5+Y53*2.5+Y54*2+Y55*2</f>
        <v>0</v>
      </c>
      <c r="Z57" s="144">
        <f>SUM(U57:Y57)</f>
        <v>0</v>
      </c>
      <c r="AA57" s="144">
        <f>Z57/8</f>
        <v>0</v>
      </c>
    </row>
    <row r="58" spans="1:29" ht="4.9000000000000004" customHeight="1">
      <c r="A58" s="247"/>
      <c r="B58" s="247"/>
      <c r="C58" s="148"/>
      <c r="D58" s="155"/>
      <c r="E58" s="148"/>
      <c r="F58" s="148"/>
      <c r="G58" s="148"/>
      <c r="H58" s="148"/>
      <c r="I58" s="148"/>
      <c r="J58" s="148"/>
      <c r="K58" s="148"/>
      <c r="L58" s="148"/>
      <c r="M58" s="148"/>
      <c r="N58" s="148"/>
      <c r="O58" s="148"/>
      <c r="P58" s="148"/>
      <c r="Q58" s="148"/>
    </row>
    <row r="59" spans="1:29" ht="15" customHeight="1">
      <c r="A59" s="247"/>
      <c r="B59" s="247"/>
      <c r="D59" s="246" t="s">
        <v>49</v>
      </c>
      <c r="F59" s="150" t="s">
        <v>17</v>
      </c>
      <c r="H59" s="144" t="s">
        <v>18</v>
      </c>
      <c r="J59" s="156"/>
      <c r="K59" s="157"/>
      <c r="L59" s="144" t="s">
        <v>19</v>
      </c>
    </row>
    <row r="60" spans="1:29" ht="5.25" customHeight="1">
      <c r="A60" s="247"/>
      <c r="B60" s="247"/>
      <c r="D60" s="149"/>
      <c r="J60" s="157"/>
      <c r="K60" s="157"/>
    </row>
    <row r="61" spans="1:29" ht="15" customHeight="1">
      <c r="A61" s="247"/>
      <c r="B61" s="247"/>
      <c r="D61" s="263" t="s">
        <v>26</v>
      </c>
      <c r="F61" s="150" t="s">
        <v>6</v>
      </c>
      <c r="H61" s="144" t="s">
        <v>27</v>
      </c>
      <c r="J61" s="150" t="s">
        <v>6</v>
      </c>
      <c r="M61" s="144" t="s">
        <v>20</v>
      </c>
      <c r="N61" s="144" t="s">
        <v>21</v>
      </c>
      <c r="O61" s="144" t="s">
        <v>22</v>
      </c>
      <c r="P61" s="144" t="s">
        <v>23</v>
      </c>
      <c r="Q61" s="144" t="s">
        <v>24</v>
      </c>
      <c r="U61" s="144">
        <f t="shared" ref="U61:Y64" si="7">IF(M62="x",1,0)</f>
        <v>0</v>
      </c>
      <c r="V61" s="144">
        <f t="shared" si="7"/>
        <v>0</v>
      </c>
      <c r="W61" s="144">
        <f t="shared" si="7"/>
        <v>0</v>
      </c>
      <c r="X61" s="144">
        <f t="shared" si="7"/>
        <v>0</v>
      </c>
      <c r="Y61" s="144">
        <f t="shared" si="7"/>
        <v>0</v>
      </c>
    </row>
    <row r="62" spans="1:29" ht="15" customHeight="1">
      <c r="A62" s="247"/>
      <c r="B62" s="247"/>
      <c r="D62" s="263"/>
      <c r="L62" s="144" t="s">
        <v>30</v>
      </c>
      <c r="M62" s="158"/>
      <c r="N62" s="159"/>
      <c r="O62" s="159"/>
      <c r="P62" s="159"/>
      <c r="Q62" s="159"/>
      <c r="U62" s="144">
        <f t="shared" si="7"/>
        <v>0</v>
      </c>
      <c r="V62" s="144">
        <f t="shared" si="7"/>
        <v>0</v>
      </c>
      <c r="W62" s="144">
        <f t="shared" si="7"/>
        <v>0</v>
      </c>
      <c r="X62" s="144">
        <f t="shared" si="7"/>
        <v>0</v>
      </c>
      <c r="Y62" s="144">
        <f t="shared" si="7"/>
        <v>0</v>
      </c>
      <c r="AB62" s="144" t="s">
        <v>25</v>
      </c>
      <c r="AC62" s="144">
        <f ca="1">DATEDIF(J59,TODAY(),"M")</f>
        <v>1519</v>
      </c>
    </row>
    <row r="63" spans="1:29" ht="15" customHeight="1">
      <c r="A63" s="247"/>
      <c r="B63" s="247"/>
      <c r="D63" s="149" t="s">
        <v>31</v>
      </c>
      <c r="F63" s="160"/>
      <c r="H63" s="144" t="s">
        <v>32</v>
      </c>
      <c r="L63" s="144" t="s">
        <v>33</v>
      </c>
      <c r="M63" s="161"/>
      <c r="N63" s="162"/>
      <c r="O63" s="162"/>
      <c r="P63" s="162"/>
      <c r="Q63" s="162"/>
      <c r="U63" s="144">
        <f t="shared" si="7"/>
        <v>0</v>
      </c>
      <c r="V63" s="144">
        <f t="shared" si="7"/>
        <v>0</v>
      </c>
      <c r="W63" s="144">
        <f t="shared" si="7"/>
        <v>0</v>
      </c>
      <c r="X63" s="144">
        <f t="shared" si="7"/>
        <v>0</v>
      </c>
      <c r="Y63" s="144">
        <f t="shared" si="7"/>
        <v>0</v>
      </c>
    </row>
    <row r="64" spans="1:29" ht="15" customHeight="1">
      <c r="A64" s="247"/>
      <c r="B64" s="247"/>
      <c r="D64" s="149" t="s">
        <v>36</v>
      </c>
      <c r="F64" s="160"/>
      <c r="H64" s="164" t="s">
        <v>37</v>
      </c>
      <c r="J64" s="150"/>
      <c r="L64" s="144" t="s">
        <v>38</v>
      </c>
      <c r="M64" s="161"/>
      <c r="N64" s="162"/>
      <c r="O64" s="162"/>
      <c r="P64" s="162"/>
      <c r="Q64" s="162"/>
      <c r="U64" s="144">
        <f t="shared" si="7"/>
        <v>0</v>
      </c>
      <c r="V64" s="144">
        <f t="shared" si="7"/>
        <v>0</v>
      </c>
      <c r="W64" s="144">
        <f t="shared" si="7"/>
        <v>0</v>
      </c>
      <c r="X64" s="144">
        <f t="shared" si="7"/>
        <v>0</v>
      </c>
      <c r="Y64" s="144">
        <f t="shared" si="7"/>
        <v>0</v>
      </c>
      <c r="Z64" s="144" t="s">
        <v>34</v>
      </c>
      <c r="AA64" s="144" t="s">
        <v>35</v>
      </c>
      <c r="AB64" s="144" t="s">
        <v>29</v>
      </c>
      <c r="AC64" s="144">
        <f>SUM(U62:Y62)</f>
        <v>0</v>
      </c>
    </row>
    <row r="65" spans="1:27" ht="15" customHeight="1">
      <c r="A65" s="247"/>
      <c r="B65" s="247"/>
      <c r="D65" s="149" t="s">
        <v>40</v>
      </c>
      <c r="F65" s="160"/>
      <c r="H65" s="164" t="s">
        <v>41</v>
      </c>
      <c r="J65" s="150"/>
      <c r="L65" s="144" t="s">
        <v>42</v>
      </c>
      <c r="M65" s="161"/>
      <c r="N65" s="162"/>
      <c r="O65" s="162"/>
      <c r="P65" s="162"/>
      <c r="Q65" s="162"/>
      <c r="T65" s="144" t="s">
        <v>39</v>
      </c>
      <c r="U65" s="144">
        <f>U61*4.5+U62*2.5+U63*3</f>
        <v>0</v>
      </c>
      <c r="V65" s="144">
        <f t="shared" ref="V65:Y65" si="8">V61*4.5+V62*2.5+V63*3</f>
        <v>0</v>
      </c>
      <c r="W65" s="144">
        <f t="shared" si="8"/>
        <v>0</v>
      </c>
      <c r="X65" s="144">
        <f t="shared" si="8"/>
        <v>0</v>
      </c>
      <c r="Y65" s="144">
        <f t="shared" si="8"/>
        <v>0</v>
      </c>
      <c r="Z65" s="144">
        <f>SUM(U65:Y65)</f>
        <v>0</v>
      </c>
      <c r="AA65" s="144">
        <f>Z65/10</f>
        <v>0</v>
      </c>
    </row>
    <row r="66" spans="1:27" ht="15" customHeight="1">
      <c r="A66" s="247"/>
      <c r="B66" s="247"/>
      <c r="D66" s="149"/>
      <c r="J66" s="157"/>
      <c r="K66" s="157"/>
      <c r="T66" s="144" t="s">
        <v>44</v>
      </c>
      <c r="U66" s="144">
        <f>U61*1.5+U62*2.5+U63*2+U64*2</f>
        <v>0</v>
      </c>
      <c r="V66" s="144">
        <f t="shared" ref="V66:Y66" si="9">V61*1.5+V62*2.5+V63*2+V64*2</f>
        <v>0</v>
      </c>
      <c r="W66" s="144">
        <f t="shared" si="9"/>
        <v>0</v>
      </c>
      <c r="X66" s="144">
        <f t="shared" si="9"/>
        <v>0</v>
      </c>
      <c r="Y66" s="144">
        <f t="shared" si="9"/>
        <v>0</v>
      </c>
      <c r="Z66" s="144">
        <f>SUM(U66:Y66)</f>
        <v>0</v>
      </c>
      <c r="AA66" s="144">
        <f>Z66/8</f>
        <v>0</v>
      </c>
    </row>
    <row r="67" spans="1:27" ht="13.15" customHeight="1">
      <c r="A67" s="247"/>
      <c r="B67" s="247"/>
      <c r="D67" s="149"/>
      <c r="J67" s="157"/>
      <c r="K67" s="157"/>
    </row>
    <row r="68" spans="1:27" ht="4.1500000000000004" customHeight="1">
      <c r="A68" s="247"/>
      <c r="B68" s="154"/>
      <c r="C68" s="148"/>
      <c r="D68" s="155"/>
      <c r="E68" s="148"/>
      <c r="F68" s="148"/>
      <c r="G68" s="148"/>
      <c r="H68" s="148"/>
      <c r="I68" s="148"/>
      <c r="J68" s="166"/>
      <c r="K68" s="166"/>
      <c r="L68" s="148"/>
      <c r="M68" s="148"/>
      <c r="N68" s="148"/>
      <c r="O68" s="148"/>
      <c r="P68" s="148"/>
      <c r="Q68" s="148"/>
    </row>
    <row r="69" spans="1:27" ht="18.75" customHeight="1">
      <c r="B69" s="267" t="s">
        <v>50</v>
      </c>
      <c r="C69" s="267"/>
      <c r="D69" s="267"/>
      <c r="E69" s="267"/>
      <c r="F69" s="267"/>
      <c r="G69" s="267"/>
      <c r="H69" s="267"/>
      <c r="I69" s="268"/>
      <c r="J69" s="268"/>
    </row>
    <row r="70" spans="1:27" ht="3.6" customHeight="1">
      <c r="B70" s="267"/>
      <c r="C70" s="267"/>
      <c r="D70" s="267"/>
      <c r="E70" s="267"/>
      <c r="F70" s="267"/>
      <c r="G70" s="267"/>
      <c r="H70" s="267"/>
      <c r="I70" s="268"/>
      <c r="J70" s="268"/>
    </row>
    <row r="71" spans="1:27" ht="15" customHeight="1"/>
    <row r="72" spans="1:27" ht="23.45" customHeight="1">
      <c r="B72" s="276" t="s">
        <v>51</v>
      </c>
      <c r="C72" s="276"/>
      <c r="D72" s="276"/>
      <c r="E72" s="276"/>
      <c r="F72" s="167">
        <f>'Berechnung Einkommen'!E27</f>
        <v>0</v>
      </c>
    </row>
    <row r="73" spans="1:27" ht="15" customHeight="1"/>
    <row r="74" spans="1:27" ht="15" customHeight="1">
      <c r="D74" s="144" t="s">
        <v>52</v>
      </c>
      <c r="F74" s="144" t="s">
        <v>53</v>
      </c>
      <c r="H74" s="168" t="s">
        <v>54</v>
      </c>
      <c r="I74" s="169"/>
      <c r="J74" s="144" t="s">
        <v>55</v>
      </c>
      <c r="N74" s="170"/>
      <c r="O74" s="170"/>
    </row>
    <row r="75" spans="1:27" ht="4.1500000000000004" customHeight="1">
      <c r="B75" s="148"/>
      <c r="C75" s="148"/>
      <c r="D75" s="148"/>
      <c r="E75" s="148"/>
      <c r="F75" s="148"/>
      <c r="G75" s="148"/>
      <c r="H75" s="171"/>
      <c r="I75" s="172"/>
      <c r="J75" s="148"/>
      <c r="K75" s="148"/>
      <c r="L75" s="148"/>
      <c r="M75" s="148"/>
      <c r="N75" s="148"/>
      <c r="O75" s="148"/>
      <c r="P75" s="148"/>
      <c r="Q75" s="148"/>
    </row>
    <row r="76" spans="1:27" ht="15" customHeight="1">
      <c r="B76" s="144" t="s">
        <v>16</v>
      </c>
      <c r="D76" s="144" t="str">
        <f>F23</f>
        <v>Betreuungsart auswählen</v>
      </c>
      <c r="F76" s="173" t="e">
        <f>SUM('Rechner Kita SE'!C51,'Rechner TFO'!C58,'Rechner Mittagstisch'!C44)</f>
        <v>#VALUE!</v>
      </c>
      <c r="H76" s="174" t="e">
        <f>SUM('Rechner Kita SE'!C52,'Rechner TFO'!C59,'Rechner Mittagstisch'!C47)</f>
        <v>#VALUE!</v>
      </c>
      <c r="I76" s="169"/>
      <c r="K76" s="277">
        <f>SUM('Rechner Kita SE'!C53,'Rechner TFO'!C60,'Rechner Mittagstisch'!C48)</f>
        <v>0</v>
      </c>
      <c r="L76" s="277"/>
    </row>
    <row r="77" spans="1:27" ht="4.1500000000000004" customHeight="1">
      <c r="H77" s="168"/>
      <c r="I77" s="169"/>
    </row>
    <row r="78" spans="1:27" ht="15" customHeight="1">
      <c r="B78" s="144" t="s">
        <v>45</v>
      </c>
      <c r="D78" s="144" t="str">
        <f>F32</f>
        <v>Kindertagesstätte (Kita)</v>
      </c>
      <c r="F78" s="250" t="e">
        <f ca="1">SUM('Rechner Kita SE'!E51,'Rechner TFO'!E58,'Rechner Mittagstisch'!E46)</f>
        <v>#VALUE!</v>
      </c>
      <c r="H78" s="174" t="e">
        <f ca="1">SUM('Rechner Kita SE'!E52,'Rechner TFO'!E59,'Rechner Mittagstisch'!E47)</f>
        <v>#VALUE!</v>
      </c>
      <c r="I78" s="169"/>
      <c r="K78" s="277" t="e">
        <f ca="1">SUM('Rechner Kita SE'!E53,'Rechner TFO'!E60,'Rechner Mittagstisch'!E48)</f>
        <v>#VALUE!</v>
      </c>
      <c r="L78" s="277"/>
    </row>
    <row r="79" spans="1:27" ht="4.1500000000000004" customHeight="1">
      <c r="H79" s="168"/>
      <c r="I79" s="169"/>
    </row>
    <row r="80" spans="1:27" ht="15" customHeight="1">
      <c r="B80" s="144" t="s">
        <v>47</v>
      </c>
      <c r="D80" s="144" t="str">
        <f>F41</f>
        <v>Betreuungsart auswählen</v>
      </c>
      <c r="F80" s="250" t="e">
        <f>SUM('Rechner Kita SE'!G51,'Rechner TFO'!G58,'Rechner Mittagstisch'!G46)</f>
        <v>#VALUE!</v>
      </c>
      <c r="H80" s="174" t="e">
        <f>SUM('Rechner Kita SE'!G52,'Rechner TFO'!G59,'Rechner Mittagstisch'!G47)</f>
        <v>#VALUE!</v>
      </c>
      <c r="I80" s="169"/>
      <c r="K80" s="277">
        <f>SUM('Rechner Kita SE'!G53,'Rechner TFO'!G60,'Rechner Mittagstisch'!G48)</f>
        <v>0</v>
      </c>
      <c r="L80" s="277"/>
    </row>
    <row r="81" spans="2:17" ht="4.1500000000000004" customHeight="1">
      <c r="H81" s="168"/>
      <c r="I81" s="169"/>
    </row>
    <row r="82" spans="2:17" ht="15" customHeight="1">
      <c r="B82" s="144" t="s">
        <v>48</v>
      </c>
      <c r="D82" s="144" t="str">
        <f>F50</f>
        <v>Betreuungsart auswählen</v>
      </c>
      <c r="F82" s="250" t="e">
        <f>SUM('Rechner Kita SE'!I51,'Rechner TFO'!I58,'Rechner Mittagstisch'!I46)</f>
        <v>#VALUE!</v>
      </c>
      <c r="H82" s="174" t="e">
        <f>SUM('Rechner Kita SE'!I52,'Rechner TFO'!I59,'Rechner Mittagstisch'!I47)</f>
        <v>#VALUE!</v>
      </c>
      <c r="I82" s="169"/>
      <c r="K82" s="277">
        <f>SUM('Rechner Kita SE'!I53,'Rechner TFO'!I60,'Rechner Mittagstisch'!I48)</f>
        <v>0</v>
      </c>
      <c r="L82" s="277"/>
    </row>
    <row r="83" spans="2:17" ht="4.1500000000000004" customHeight="1">
      <c r="H83" s="168"/>
      <c r="I83" s="169"/>
    </row>
    <row r="84" spans="2:17" ht="15" customHeight="1">
      <c r="B84" s="144" t="s">
        <v>49</v>
      </c>
      <c r="D84" s="144" t="str">
        <f>F59</f>
        <v>Betreuungsart auswählen</v>
      </c>
      <c r="F84" s="250" t="e">
        <f>SUM('Rechner Kita SE'!K51,'Rechner TFO'!K58,'Rechner Mittagstisch'!K46)</f>
        <v>#VALUE!</v>
      </c>
      <c r="H84" s="174" t="e">
        <f>SUM('Rechner Kita SE'!K52,'Rechner TFO'!K59,'Rechner Mittagstisch'!K47)</f>
        <v>#VALUE!</v>
      </c>
      <c r="I84" s="169"/>
      <c r="K84" s="278">
        <f>SUM('Rechner Kita SE'!K53,'Rechner TFO'!K60,'Rechner Mittagstisch'!K48)</f>
        <v>0</v>
      </c>
      <c r="L84" s="278"/>
    </row>
    <row r="85" spans="2:17" ht="5.45" customHeight="1">
      <c r="D85" s="148"/>
      <c r="E85" s="148"/>
      <c r="F85" s="148"/>
      <c r="G85" s="148"/>
      <c r="H85" s="171"/>
      <c r="I85" s="172"/>
      <c r="J85" s="148"/>
      <c r="K85" s="148"/>
      <c r="L85" s="148"/>
      <c r="M85" s="148"/>
      <c r="N85" s="148"/>
      <c r="O85" s="148"/>
      <c r="P85" s="148"/>
      <c r="Q85" s="148"/>
    </row>
    <row r="86" spans="2:17" ht="15" customHeight="1" thickBot="1">
      <c r="B86" s="175" t="s">
        <v>56</v>
      </c>
      <c r="C86" s="176"/>
      <c r="D86" s="176"/>
      <c r="E86" s="177"/>
      <c r="F86" s="178">
        <f>IFERROR(SUM(F76:F84),0)</f>
        <v>0</v>
      </c>
      <c r="G86" s="177"/>
      <c r="H86" s="244">
        <f>IFERROR(SUM(H76:H84),0)</f>
        <v>0</v>
      </c>
      <c r="I86" s="244">
        <f t="shared" ref="I86" si="10">SUM(I76:I84)</f>
        <v>0</v>
      </c>
      <c r="J86" s="244"/>
      <c r="K86" s="279" t="e">
        <f ca="1">SUM(K76:L84)</f>
        <v>#VALUE!</v>
      </c>
      <c r="L86" s="279"/>
      <c r="M86" s="177"/>
      <c r="N86" s="177"/>
      <c r="O86" s="177"/>
      <c r="P86" s="176"/>
      <c r="Q86" s="176"/>
    </row>
    <row r="87" spans="2:17" ht="15" customHeight="1"/>
    <row r="88" spans="2:17" ht="15" customHeight="1">
      <c r="B88" s="265" t="s">
        <v>57</v>
      </c>
      <c r="C88" s="265"/>
      <c r="D88" s="265"/>
      <c r="E88" s="265"/>
      <c r="F88" s="265"/>
      <c r="G88" s="265"/>
      <c r="H88" s="265"/>
      <c r="I88" s="265"/>
      <c r="J88" s="265"/>
      <c r="K88" s="265"/>
      <c r="L88" s="265"/>
      <c r="M88" s="265"/>
      <c r="N88" s="265"/>
      <c r="O88" s="265"/>
      <c r="P88" s="265"/>
      <c r="Q88" s="265"/>
    </row>
    <row r="89" spans="2:17" ht="15" customHeight="1"/>
    <row r="90" spans="2:17" ht="32.25" customHeight="1">
      <c r="B90" s="264" t="s">
        <v>58</v>
      </c>
      <c r="C90" s="264"/>
      <c r="D90" s="264"/>
      <c r="E90" s="264"/>
      <c r="F90" s="264"/>
      <c r="G90" s="264"/>
      <c r="H90" s="264"/>
      <c r="I90" s="264"/>
      <c r="J90" s="264"/>
      <c r="K90" s="264"/>
      <c r="L90" s="264"/>
      <c r="M90" s="264"/>
      <c r="N90" s="264"/>
      <c r="O90" s="264"/>
      <c r="P90" s="264"/>
      <c r="Q90" s="264"/>
    </row>
    <row r="91" spans="2:17" ht="14.25">
      <c r="D91" s="179"/>
      <c r="E91" s="179"/>
    </row>
    <row r="92" spans="2:17" s="180" customFormat="1" ht="25.5" customHeight="1">
      <c r="B92" s="266" t="s">
        <v>59</v>
      </c>
      <c r="C92" s="266"/>
      <c r="D92" s="266"/>
      <c r="E92" s="266"/>
      <c r="F92" s="266"/>
      <c r="G92" s="266"/>
      <c r="H92" s="266"/>
      <c r="I92" s="266"/>
      <c r="J92" s="266"/>
      <c r="K92" s="266"/>
      <c r="L92" s="266"/>
      <c r="M92" s="266"/>
      <c r="N92" s="266"/>
      <c r="Q92" s="144"/>
    </row>
    <row r="93" spans="2:17" s="181" customFormat="1" ht="29.25" customHeight="1">
      <c r="D93" s="149"/>
      <c r="E93" s="149"/>
      <c r="F93" s="182"/>
      <c r="G93" s="183"/>
      <c r="H93" s="184"/>
    </row>
    <row r="94" spans="2:17" s="181" customFormat="1" ht="29.25" customHeight="1">
      <c r="D94" s="149"/>
      <c r="E94" s="149"/>
      <c r="F94" s="182"/>
      <c r="G94" s="183"/>
      <c r="H94" s="184"/>
    </row>
    <row r="95" spans="2:17" s="181" customFormat="1" ht="29.25" customHeight="1">
      <c r="D95" s="149"/>
      <c r="E95" s="149"/>
      <c r="F95" s="183"/>
      <c r="G95" s="183"/>
      <c r="H95" s="184"/>
    </row>
    <row r="96" spans="2:17" s="181" customFormat="1" ht="29.25" customHeight="1">
      <c r="D96" s="149"/>
      <c r="E96" s="149"/>
      <c r="F96" s="183"/>
      <c r="G96" s="183"/>
      <c r="H96" s="184"/>
    </row>
    <row r="97" spans="4:8" s="181" customFormat="1">
      <c r="D97" s="149"/>
      <c r="E97" s="149"/>
      <c r="H97" s="184"/>
    </row>
    <row r="98" spans="4:8" s="181" customFormat="1" ht="14.25">
      <c r="D98" s="246"/>
      <c r="E98" s="246"/>
      <c r="H98" s="184"/>
    </row>
    <row r="99" spans="4:8" s="180" customFormat="1" ht="25.5" customHeight="1">
      <c r="D99" s="149"/>
    </row>
    <row r="100" spans="4:8" s="181" customFormat="1" ht="25.5" customHeight="1">
      <c r="D100" s="185"/>
      <c r="E100" s="149"/>
      <c r="F100" s="183"/>
      <c r="G100" s="183"/>
      <c r="H100" s="186"/>
    </row>
    <row r="101" spans="4:8" s="181" customFormat="1" ht="29.25" customHeight="1">
      <c r="D101" s="187"/>
      <c r="E101" s="149"/>
      <c r="F101" s="183"/>
      <c r="G101" s="183"/>
      <c r="H101" s="186"/>
    </row>
    <row r="102" spans="4:8" s="181" customFormat="1" ht="29.25" customHeight="1">
      <c r="D102" s="187"/>
      <c r="E102" s="149"/>
      <c r="F102" s="183"/>
      <c r="G102" s="183"/>
      <c r="H102" s="186"/>
    </row>
    <row r="103" spans="4:8" s="181" customFormat="1" ht="29.25" customHeight="1">
      <c r="D103" s="187"/>
      <c r="E103" s="149"/>
      <c r="F103" s="183"/>
      <c r="G103" s="183"/>
      <c r="H103" s="186"/>
    </row>
    <row r="104" spans="4:8" s="181" customFormat="1" ht="29.25" customHeight="1">
      <c r="D104" s="187"/>
      <c r="E104" s="149"/>
      <c r="F104" s="183"/>
      <c r="G104" s="183"/>
      <c r="H104" s="186"/>
    </row>
    <row r="105" spans="4:8" s="181" customFormat="1" ht="29.25" customHeight="1">
      <c r="D105" s="187"/>
      <c r="E105" s="149"/>
      <c r="F105" s="183"/>
      <c r="G105" s="183"/>
      <c r="H105" s="186"/>
    </row>
    <row r="106" spans="4:8" s="181" customFormat="1" ht="29.25" customHeight="1">
      <c r="D106" s="187"/>
      <c r="E106" s="149"/>
      <c r="F106" s="183"/>
      <c r="G106" s="183"/>
      <c r="H106" s="186"/>
    </row>
    <row r="107" spans="4:8" s="181" customFormat="1" ht="29.25" customHeight="1">
      <c r="D107" s="149"/>
      <c r="E107" s="149"/>
      <c r="F107" s="183"/>
      <c r="G107" s="183"/>
      <c r="H107" s="184"/>
    </row>
    <row r="108" spans="4:8" s="181" customFormat="1" ht="29.25" customHeight="1">
      <c r="D108" s="188"/>
      <c r="E108" s="149"/>
      <c r="F108" s="183"/>
      <c r="G108" s="183"/>
      <c r="H108" s="184"/>
    </row>
    <row r="109" spans="4:8" s="181" customFormat="1">
      <c r="D109" s="149"/>
      <c r="E109" s="149"/>
      <c r="H109" s="184"/>
    </row>
    <row r="110" spans="4:8" s="181" customFormat="1" ht="14.25">
      <c r="D110" s="246"/>
      <c r="E110" s="246"/>
      <c r="H110" s="184"/>
    </row>
    <row r="111" spans="4:8" s="180" customFormat="1"/>
    <row r="112" spans="4:8" s="181" customFormat="1" ht="29.25" customHeight="1">
      <c r="D112" s="149"/>
      <c r="E112" s="149"/>
      <c r="H112" s="186"/>
    </row>
    <row r="113" spans="3:9" s="181" customFormat="1">
      <c r="D113" s="149"/>
      <c r="E113" s="149"/>
      <c r="H113" s="184"/>
    </row>
    <row r="114" spans="3:9" s="181" customFormat="1" ht="14.25">
      <c r="D114" s="262"/>
      <c r="E114" s="262"/>
      <c r="F114" s="262"/>
      <c r="H114" s="184"/>
    </row>
    <row r="115" spans="3:9" s="180" customFormat="1"/>
    <row r="116" spans="3:9" s="181" customFormat="1" ht="29.25" customHeight="1">
      <c r="D116" s="149"/>
      <c r="E116" s="149"/>
      <c r="F116" s="189"/>
      <c r="G116" s="189"/>
      <c r="H116" s="184"/>
    </row>
    <row r="117" spans="3:9" s="181" customFormat="1" ht="29.25" customHeight="1">
      <c r="D117" s="149"/>
      <c r="E117" s="149"/>
      <c r="F117" s="190"/>
      <c r="G117" s="189"/>
      <c r="H117" s="184"/>
    </row>
    <row r="118" spans="3:9" s="181" customFormat="1" ht="29.25" customHeight="1">
      <c r="D118" s="149"/>
      <c r="E118" s="149"/>
      <c r="G118" s="189"/>
      <c r="H118" s="184"/>
    </row>
    <row r="119" spans="3:9" s="181" customFormat="1" ht="29.25" customHeight="1">
      <c r="D119" s="149"/>
      <c r="E119" s="149"/>
      <c r="G119" s="189"/>
      <c r="H119" s="184"/>
    </row>
    <row r="120" spans="3:9" s="181" customFormat="1" ht="29.25" customHeight="1">
      <c r="D120" s="149"/>
      <c r="E120" s="149"/>
      <c r="G120" s="189"/>
      <c r="H120" s="184"/>
    </row>
    <row r="121" spans="3:9" s="181" customFormat="1" ht="29.25" customHeight="1">
      <c r="D121" s="149"/>
      <c r="E121" s="149"/>
      <c r="G121" s="189"/>
      <c r="H121" s="184"/>
    </row>
    <row r="122" spans="3:9" ht="10.5" customHeight="1"/>
    <row r="126" spans="3:9" ht="12.75" customHeight="1">
      <c r="C126" s="191"/>
      <c r="D126" s="262"/>
      <c r="E126" s="262"/>
      <c r="F126" s="262"/>
      <c r="G126" s="191"/>
      <c r="H126" s="249"/>
      <c r="I126" s="191"/>
    </row>
    <row r="127" spans="3:9" s="180" customFormat="1">
      <c r="F127" s="192"/>
      <c r="G127" s="192"/>
    </row>
    <row r="128" spans="3:9" ht="29.25" customHeight="1">
      <c r="D128" s="164"/>
      <c r="E128" s="164"/>
      <c r="F128" s="193"/>
      <c r="G128" s="193"/>
    </row>
    <row r="129" spans="4:8" ht="29.25" customHeight="1">
      <c r="D129" s="164"/>
      <c r="E129" s="164"/>
      <c r="F129" s="183"/>
      <c r="G129" s="193"/>
    </row>
    <row r="130" spans="4:8" ht="29.25" customHeight="1">
      <c r="D130" s="164"/>
      <c r="E130" s="164"/>
      <c r="F130" s="193"/>
      <c r="G130" s="193"/>
    </row>
    <row r="131" spans="4:8" ht="29.25" customHeight="1">
      <c r="D131" s="164"/>
      <c r="E131" s="164"/>
      <c r="F131" s="193"/>
      <c r="G131" s="193"/>
      <c r="H131" s="194"/>
    </row>
    <row r="132" spans="4:8" ht="29.25" customHeight="1">
      <c r="D132" s="195"/>
      <c r="E132" s="195"/>
      <c r="F132" s="196"/>
      <c r="G132" s="196"/>
    </row>
  </sheetData>
  <sheetProtection algorithmName="SHA-512" hashValue="2iNo7ZlR4DCQccjAX54TyhG5HglPVbAaAVIaTgHGTdGncObbr3JK+GRoDKIsYQAuUvu8PTEFcOvqkg+euTgswQ==" saltValue="QLXQBlTr8QL4wL0NLTWs/A==" spinCount="100000" sheet="1" objects="1" scenarios="1"/>
  <mergeCells count="23">
    <mergeCell ref="B88:Q88"/>
    <mergeCell ref="B92:N92"/>
    <mergeCell ref="K86:L86"/>
    <mergeCell ref="B72:E72"/>
    <mergeCell ref="B8:Q9"/>
    <mergeCell ref="K84:L84"/>
    <mergeCell ref="B69:J70"/>
    <mergeCell ref="B7:Q7"/>
    <mergeCell ref="B6:Q6"/>
    <mergeCell ref="D114:F114"/>
    <mergeCell ref="D126:F126"/>
    <mergeCell ref="B12:B13"/>
    <mergeCell ref="B23:B24"/>
    <mergeCell ref="D25:D26"/>
    <mergeCell ref="D34:D35"/>
    <mergeCell ref="D43:D44"/>
    <mergeCell ref="D52:D53"/>
    <mergeCell ref="D61:D62"/>
    <mergeCell ref="B90:Q90"/>
    <mergeCell ref="K76:L76"/>
    <mergeCell ref="K78:L78"/>
    <mergeCell ref="K80:L80"/>
    <mergeCell ref="K82:L82"/>
  </mergeCells>
  <phoneticPr fontId="20" type="noConversion"/>
  <conditionalFormatting sqref="B76:L84">
    <cfRule type="expression" dxfId="48" priority="32">
      <formula>$J$19="Auswahl treffen"</formula>
    </cfRule>
  </conditionalFormatting>
  <conditionalFormatting sqref="B78:L84">
    <cfRule type="expression" dxfId="47" priority="31">
      <formula>$J$19=1</formula>
    </cfRule>
  </conditionalFormatting>
  <conditionalFormatting sqref="B80:L84">
    <cfRule type="expression" dxfId="46" priority="30">
      <formula>$J$19=2</formula>
    </cfRule>
  </conditionalFormatting>
  <conditionalFormatting sqref="B82:L84">
    <cfRule type="expression" dxfId="45" priority="29">
      <formula>$J$19=3</formula>
    </cfRule>
  </conditionalFormatting>
  <conditionalFormatting sqref="B84:L84">
    <cfRule type="expression" dxfId="44" priority="28">
      <formula>$J$19=4</formula>
    </cfRule>
  </conditionalFormatting>
  <conditionalFormatting sqref="B50:Q66">
    <cfRule type="expression" dxfId="43" priority="50">
      <formula>$J$19=3</formula>
    </cfRule>
  </conditionalFormatting>
  <conditionalFormatting sqref="B59:Q66">
    <cfRule type="expression" dxfId="42" priority="49">
      <formula>$J$19=4</formula>
    </cfRule>
  </conditionalFormatting>
  <conditionalFormatting sqref="C23:Q25 C26:G26 I26:Q26 C27:Q66">
    <cfRule type="expression" dxfId="41" priority="53">
      <formula>$J$19="Auswahl treffen"</formula>
    </cfRule>
  </conditionalFormatting>
  <conditionalFormatting sqref="C32:Q66">
    <cfRule type="expression" dxfId="40" priority="52">
      <formula>$J$19=1</formula>
    </cfRule>
  </conditionalFormatting>
  <conditionalFormatting sqref="C41:Q66">
    <cfRule type="expression" dxfId="39" priority="51">
      <formula>$J$19=2</formula>
    </cfRule>
  </conditionalFormatting>
  <conditionalFormatting sqref="D108:F108">
    <cfRule type="expression" dxfId="38" priority="58">
      <formula>"nicht($K$8)"</formula>
    </cfRule>
  </conditionalFormatting>
  <conditionalFormatting sqref="D25:J25 D26:G26 I26:J26 L26:Q26 D27:F28 H27:J29 L28:Q29">
    <cfRule type="expression" dxfId="37" priority="35">
      <formula>$F$23="NUR Mittagstisch"</formula>
    </cfRule>
  </conditionalFormatting>
  <conditionalFormatting sqref="D25:J26">
    <cfRule type="expression" dxfId="36" priority="5">
      <formula>OR($AC$23&lt;48,$AC$23&gt;720)</formula>
    </cfRule>
  </conditionalFormatting>
  <conditionalFormatting sqref="D34:J35">
    <cfRule type="expression" dxfId="35" priority="4">
      <formula>OR($AC$34&lt;48,$AC$34&gt;720)</formula>
    </cfRule>
  </conditionalFormatting>
  <conditionalFormatting sqref="D43:J44">
    <cfRule type="expression" dxfId="34" priority="3">
      <formula>OR($AC$43&lt;48,$AC$43&gt;720)</formula>
    </cfRule>
  </conditionalFormatting>
  <conditionalFormatting sqref="D43:J46 L44:Q44 L46:Q47 H47:J47">
    <cfRule type="expression" dxfId="33" priority="14">
      <formula>$F$41="NUR Mittagstisch"</formula>
    </cfRule>
  </conditionalFormatting>
  <conditionalFormatting sqref="D52:J53">
    <cfRule type="expression" dxfId="32" priority="2">
      <formula>OR($AC$52&lt;48,$AC$52&gt;720)</formula>
    </cfRule>
  </conditionalFormatting>
  <conditionalFormatting sqref="D52:J55 L53:Q53 L55:Q56 H56:J56">
    <cfRule type="expression" dxfId="31" priority="13">
      <formula>$F$50="NUR Mittagstisch"</formula>
    </cfRule>
  </conditionalFormatting>
  <conditionalFormatting sqref="D61:J62">
    <cfRule type="expression" dxfId="30" priority="1">
      <formula>OR($AC$62&lt;48,$AC$62&gt;720)</formula>
    </cfRule>
  </conditionalFormatting>
  <conditionalFormatting sqref="D61:J64 L62:Q62 L64:Q65 H65:J65">
    <cfRule type="expression" dxfId="29" priority="12">
      <formula>$F$59="NUR Mittagstisch"</formula>
    </cfRule>
  </conditionalFormatting>
  <conditionalFormatting sqref="D34:K37 L35:Q35 L37:Q38 H38:J38">
    <cfRule type="expression" dxfId="28" priority="15">
      <formula>$F$32="NUR Mittagstisch"</formula>
    </cfRule>
  </conditionalFormatting>
  <conditionalFormatting sqref="F14">
    <cfRule type="expression" dxfId="27" priority="56">
      <formula>$F$12="Nein"</formula>
    </cfRule>
    <cfRule type="expression" dxfId="26" priority="55">
      <formula>$F$12="Ja"</formula>
    </cfRule>
  </conditionalFormatting>
  <conditionalFormatting sqref="F30">
    <cfRule type="expression" dxfId="25" priority="7">
      <formula>$AC$27="FALSCH"</formula>
    </cfRule>
  </conditionalFormatting>
  <conditionalFormatting sqref="F108">
    <cfRule type="expression" dxfId="24" priority="59">
      <formula>$M$94</formula>
    </cfRule>
  </conditionalFormatting>
  <conditionalFormatting sqref="H25:J25 G26 I26:J26 H27:J29 D28:F29">
    <cfRule type="expression" dxfId="23" priority="36">
      <formula>$F$23="Schulergänzende Betreuung"</formula>
    </cfRule>
  </conditionalFormatting>
  <conditionalFormatting sqref="H27:J29 D28:F29 L29:Q29">
    <cfRule type="expression" dxfId="22" priority="37">
      <formula>$F$23="Kindertagesstätte (Kita)"</formula>
    </cfRule>
  </conditionalFormatting>
  <conditionalFormatting sqref="H34:J38 D37:F38 R39">
    <cfRule type="expression" dxfId="21" priority="19">
      <formula>$F$32="Schulergänzende Betreuung"</formula>
    </cfRule>
  </conditionalFormatting>
  <conditionalFormatting sqref="H36:J38 D37:F38 L38:Q38">
    <cfRule type="expression" dxfId="20" priority="23">
      <formula>$F$32="Kindertagesstätte (Kita)"</formula>
    </cfRule>
  </conditionalFormatting>
  <conditionalFormatting sqref="H43:J47 D46:F47">
    <cfRule type="expression" dxfId="19" priority="18">
      <formula>$F$41="Schulergänzende Betreuung"</formula>
    </cfRule>
  </conditionalFormatting>
  <conditionalFormatting sqref="H45:J47 D46:F47 L47:Q47">
    <cfRule type="expression" dxfId="18" priority="22">
      <formula>$F$41="Kindertagesstätte (Kita)"</formula>
    </cfRule>
  </conditionalFormatting>
  <conditionalFormatting sqref="H52:J56 D55:F56">
    <cfRule type="expression" dxfId="17" priority="17">
      <formula>$F$50="Schulergänzende Betreuung"</formula>
    </cfRule>
  </conditionalFormatting>
  <conditionalFormatting sqref="H54:J56 D55:F56 L56:Q56">
    <cfRule type="expression" dxfId="16" priority="21">
      <formula>$F$50="Kindertagesstätte (Kita)"</formula>
    </cfRule>
  </conditionalFormatting>
  <conditionalFormatting sqref="H61:J65 D64:F65">
    <cfRule type="expression" dxfId="15" priority="16">
      <formula>$F$59="Schulergänzende Betreuung"</formula>
    </cfRule>
  </conditionalFormatting>
  <conditionalFormatting sqref="H63:J65 D64:F65 L65:Q65">
    <cfRule type="expression" dxfId="14" priority="20">
      <formula>$F$59="Kindertagesstätte (Kita)"</formula>
    </cfRule>
  </conditionalFormatting>
  <conditionalFormatting sqref="J12 F16 J16">
    <cfRule type="expression" dxfId="13" priority="54">
      <formula>$F$12="Nein"</formula>
    </cfRule>
  </conditionalFormatting>
  <conditionalFormatting sqref="J19">
    <cfRule type="expression" dxfId="12" priority="33">
      <formula>$F$19="Auswahl treffen"</formula>
    </cfRule>
    <cfRule type="expression" dxfId="11" priority="48">
      <formula>$F$19&lt;&gt;"Auswahl treffen"</formula>
    </cfRule>
  </conditionalFormatting>
  <conditionalFormatting sqref="L23:Q29 D27:F27 D29:F29">
    <cfRule type="expression" dxfId="10" priority="42">
      <formula>$F$23="Tagesfamilie"</formula>
    </cfRule>
  </conditionalFormatting>
  <conditionalFormatting sqref="L23:Q29 D25:K25 D26:G26 I26:K26 D27:K29">
    <cfRule type="expression" dxfId="9" priority="34">
      <formula>$F$23="Betreuungsart auswählen"</formula>
    </cfRule>
  </conditionalFormatting>
  <conditionalFormatting sqref="L32:Q32 D34:Q38">
    <cfRule type="expression" dxfId="8" priority="11">
      <formula>$F$32="Betreuungsart auswählen"</formula>
    </cfRule>
  </conditionalFormatting>
  <conditionalFormatting sqref="L32:Q38 D36:F36 D38:F38">
    <cfRule type="expression" dxfId="7" priority="27">
      <formula>$F$32="Tagesfamilie"</formula>
    </cfRule>
  </conditionalFormatting>
  <conditionalFormatting sqref="L41:Q41 D43:Q47">
    <cfRule type="expression" dxfId="6" priority="10">
      <formula>$F$41="Betreuungsart auswählen"</formula>
    </cfRule>
  </conditionalFormatting>
  <conditionalFormatting sqref="L41:Q47 D45:F45 D47:F47">
    <cfRule type="expression" dxfId="5" priority="26">
      <formula>$F$41="Tagesfamilie"</formula>
    </cfRule>
  </conditionalFormatting>
  <conditionalFormatting sqref="L50:Q50 D52:Q56">
    <cfRule type="expression" dxfId="4" priority="9">
      <formula>$F$50="Betreuungsart auswählen"</formula>
    </cfRule>
  </conditionalFormatting>
  <conditionalFormatting sqref="L50:Q56 D54:F54 D56:F56">
    <cfRule type="expression" dxfId="3" priority="25">
      <formula>$F$50="Tagesfamilie"</formula>
    </cfRule>
  </conditionalFormatting>
  <conditionalFormatting sqref="L59:Q59 D61:Q65">
    <cfRule type="expression" dxfId="2" priority="8">
      <formula>$F$59="Betreuungsart auswählen"</formula>
    </cfRule>
  </conditionalFormatting>
  <conditionalFormatting sqref="L59:Q65 D63:F63 D65:F65">
    <cfRule type="expression" dxfId="1" priority="24">
      <formula>$F$59="Tagesfamilie"</formula>
    </cfRule>
  </conditionalFormatting>
  <dataValidations xWindow="1185" yWindow="644" count="11">
    <dataValidation type="list" allowBlank="1" showInputMessage="1" showErrorMessage="1" sqref="F12 F25 F34 F43 F52 F61 J25 J34 J43 J52 J61" xr:uid="{00000000-0002-0000-0000-000000000000}">
      <formula1>"Auswahl treffen,Ja,Nein"</formula1>
    </dataValidation>
    <dataValidation type="list" allowBlank="1" showInputMessage="1" showErrorMessage="1" sqref="F19 J19" xr:uid="{00000000-0002-0000-0000-000001000000}">
      <formula1>"Auswahl treffen,1,2,3,4,5"</formula1>
    </dataValidation>
    <dataValidation type="list" allowBlank="1" showInputMessage="1" showErrorMessage="1" sqref="F66:F68 F60" xr:uid="{00000000-0002-0000-0000-000002000000}">
      <formula1>"Betreuungsart auswählen,Kindertagesstätte (Kita),Tagesfamilie,Schulergänzende Betreuung/Mittagstisch"</formula1>
    </dataValidation>
    <dataValidation type="list" allowBlank="1" showInputMessage="1" showErrorMessage="1" error="Bitte setzen Sie ein &quot;x&quot;." sqref="M26:Q29 M44:Q47 M53:Q56 M62:Q65 M35:Q38" xr:uid="{00000000-0002-0000-0000-000003000000}">
      <formula1>"x"</formula1>
    </dataValidation>
    <dataValidation type="list" allowBlank="1" showInputMessage="1" showErrorMessage="1" sqref="F23 F32 F41 F50 F59" xr:uid="{00000000-0002-0000-0000-000004000000}">
      <formula1>"Betreuungsart auswählen,Kindertagesstätte (Kita),Tagesfamilie,Schulergänzende Betreuung, NUR Mittagstisch"</formula1>
    </dataValidation>
    <dataValidation type="custom" errorStyle="warning" allowBlank="1" showInputMessage="1" showErrorMessage="1" error="Sie haben angegeben, dass Ihr Kind unter 4 Jahren alt ist und schulergänzende Betreuung beansprucht. Bitte Eingabe kontrollieren." sqref="AC27" xr:uid="{00000000-0002-0000-0000-000005000000}">
      <formula1>AC27="WAHR"</formula1>
    </dataValidation>
    <dataValidation allowBlank="1" showInputMessage="1" showErrorMessage="1" prompt="Gesamteinkommen von Ehepaar oder Konkubinatspaar (bei gemeinsamen Sorgerecht)_x000a_Code 820 auf rechtskräftiger Veranlagungsverfügung" sqref="F16" xr:uid="{00000000-0002-0000-0000-000006000000}"/>
    <dataValidation allowBlank="1" showInputMessage="1" showErrorMessage="1" prompt="Gesamtvermögen von Ehepaar oder Konkubinatspaar (bei gemeinsamen Sorgerecht)_x000a_Wenn über CHF 200'000, werden 10% dem anspruchsberechtigten Einkommen angerechnet._x000a_Code 970 auf rechtskräftiger Veranlagungsverfügung" sqref="J16" xr:uid="{00000000-0002-0000-0000-000007000000}"/>
    <dataValidation type="custom" errorStyle="warning" allowBlank="1" showInputMessage="1" showErrorMessage="1" errorTitle="Alter prüfen" error="Sie haben angegeben, dass Ihr Kind unter 4 Jahren alt ist und schulergänzende Betreuung beansprucht. Bitte Eingabe kontrollieren." sqref="J23 J32 J41 J50 J59" xr:uid="{00000000-0002-0000-0000-000008000000}">
      <formula1>IF(AND(F23="Schulergänzende Betreuung",DATEDIF(J23,TODAY(),"M")&lt;48),FALSE,TRUE)</formula1>
    </dataValidation>
    <dataValidation allowBlank="1" showInputMessage="1" showErrorMessage="1" prompt="BVG/2. Säule_x000a_Code 432 und 472 auf rechtskräftiger Veranlagungsverfügung" sqref="J12" xr:uid="{00000000-0002-0000-0000-000009000000}"/>
    <dataValidation allowBlank="1" showInputMessage="1" showErrorMessage="1" prompt="Unterhaltskosten, welche den ordentlichen Liegenschaftsaufwand übersteigen." sqref="J14" xr:uid="{00000000-0002-0000-0000-00000A000000}"/>
  </dataValidations>
  <hyperlinks>
    <hyperlink ref="B7:Q7" r:id="rId1" location="/anmeldung" display="Hier geht es zur Webseite von kiBon" xr:uid="{00000000-0004-0000-0000-000000000000}"/>
  </hyperlinks>
  <pageMargins left="0.7" right="0.7" top="0.78740157499999996" bottom="0.78740157499999996" header="0.3" footer="0.3"/>
  <pageSetup paperSize="9"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61" id="{CF6B0E44-3DA0-46F5-8A40-0AA7B25B4961}">
            <xm:f>'Berechnung Einkommen'!$H$27</xm:f>
            <x14:dxf>
              <fill>
                <patternFill>
                  <bgColor theme="7" tint="0.79998168889431442"/>
                </patternFill>
              </fill>
            </x14:dxf>
          </x14:cfRule>
          <xm:sqref>F117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C8E61-750B-4279-88D2-8F6A514955BF}">
  <sheetPr>
    <tabColor rgb="FFFFC000"/>
  </sheetPr>
  <dimension ref="B3:D16"/>
  <sheetViews>
    <sheetView zoomScale="130" zoomScaleNormal="130" workbookViewId="0">
      <selection activeCell="C15" sqref="C15"/>
    </sheetView>
  </sheetViews>
  <sheetFormatPr defaultColWidth="11.42578125" defaultRowHeight="12.75"/>
  <cols>
    <col min="1" max="1" width="11.42578125" style="252"/>
    <col min="2" max="2" width="52.42578125" style="252" customWidth="1"/>
    <col min="3" max="16384" width="11.42578125" style="252"/>
  </cols>
  <sheetData>
    <row r="3" spans="2:4" ht="47.25" customHeight="1">
      <c r="B3" s="271" t="s">
        <v>60</v>
      </c>
      <c r="C3" s="271"/>
      <c r="D3" s="271"/>
    </row>
    <row r="5" spans="2:4" ht="14.25">
      <c r="B5" s="253" t="s">
        <v>61</v>
      </c>
    </row>
    <row r="6" spans="2:4" ht="18.75" customHeight="1">
      <c r="B6" s="272" t="s">
        <v>62</v>
      </c>
      <c r="C6" s="273"/>
      <c r="D6" s="274"/>
    </row>
    <row r="7" spans="2:4" ht="42" customHeight="1">
      <c r="B7" s="272" t="s">
        <v>63</v>
      </c>
      <c r="C7" s="274"/>
      <c r="D7" s="274"/>
    </row>
    <row r="8" spans="2:4" ht="35.25" customHeight="1">
      <c r="B8" s="269" t="s">
        <v>64</v>
      </c>
      <c r="C8" s="270"/>
      <c r="D8" s="270"/>
    </row>
    <row r="11" spans="2:4" ht="29.45" customHeight="1">
      <c r="B11" s="254" t="s">
        <v>65</v>
      </c>
      <c r="C11" s="233"/>
    </row>
    <row r="12" spans="2:4">
      <c r="B12" s="255" t="s">
        <v>66</v>
      </c>
      <c r="C12" s="256">
        <f>C11*20%</f>
        <v>0</v>
      </c>
    </row>
    <row r="13" spans="2:4">
      <c r="C13" s="257"/>
    </row>
    <row r="14" spans="2:4" ht="14.25">
      <c r="B14" s="252" t="s">
        <v>67</v>
      </c>
      <c r="C14" s="233"/>
    </row>
    <row r="15" spans="2:4" ht="13.5" thickBot="1">
      <c r="C15" s="257"/>
    </row>
    <row r="16" spans="2:4" ht="13.5" thickBot="1">
      <c r="B16" s="258" t="s">
        <v>68</v>
      </c>
      <c r="C16" s="259">
        <f>IF(C14-C12&lt;=0,0,IF(C14-C12&gt;0,C14-C12))</f>
        <v>0</v>
      </c>
    </row>
  </sheetData>
  <sheetProtection algorithmName="SHA-512" hashValue="dt/7vd3QqYDFWtPCh305zpbOnt7RF+YtbdK/spmswfjqPWs4klHX4kVwo1n/gmQAaVuxw3nlvyP8CY64lJ02Yg==" saltValue="I9kA+eKCNVPVRvSDCQIFyw==" spinCount="100000" sheet="1" objects="1" scenarios="1"/>
  <mergeCells count="4">
    <mergeCell ref="B8:D8"/>
    <mergeCell ref="B3:D3"/>
    <mergeCell ref="B6:D6"/>
    <mergeCell ref="B7:D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C000"/>
  </sheetPr>
  <dimension ref="B2:H28"/>
  <sheetViews>
    <sheetView showGridLines="0" workbookViewId="0">
      <selection activeCell="I49" sqref="I49"/>
    </sheetView>
  </sheetViews>
  <sheetFormatPr defaultColWidth="11.42578125" defaultRowHeight="12.75"/>
  <cols>
    <col min="1" max="1" width="6.7109375" style="144" customWidth="1"/>
    <col min="2" max="2" width="3.42578125" style="144" customWidth="1"/>
    <col min="3" max="3" width="44.85546875" style="144" bestFit="1" customWidth="1"/>
    <col min="4" max="4" width="6.7109375" style="144" bestFit="1" customWidth="1"/>
    <col min="5" max="5" width="17.140625" style="152" bestFit="1" customWidth="1"/>
    <col min="6" max="6" width="3" style="144" customWidth="1"/>
    <col min="7" max="7" width="11.42578125" style="144"/>
    <col min="8" max="8" width="11.42578125" style="144" customWidth="1"/>
    <col min="9" max="16384" width="11.42578125" style="144"/>
  </cols>
  <sheetData>
    <row r="2" spans="2:8">
      <c r="B2" s="197"/>
      <c r="C2" s="148"/>
      <c r="D2" s="148"/>
      <c r="E2" s="198"/>
      <c r="F2" s="199"/>
    </row>
    <row r="3" spans="2:8" ht="18" customHeight="1">
      <c r="B3" s="200" t="s">
        <v>69</v>
      </c>
      <c r="C3" s="201"/>
      <c r="D3" s="201"/>
      <c r="E3" s="202"/>
      <c r="F3" s="203"/>
    </row>
    <row r="4" spans="2:8" ht="18" customHeight="1">
      <c r="B4" s="204"/>
      <c r="C4" s="275" t="s">
        <v>70</v>
      </c>
      <c r="D4" s="275"/>
      <c r="E4" s="275"/>
      <c r="F4" s="205"/>
    </row>
    <row r="5" spans="2:8" ht="25.5" customHeight="1">
      <c r="B5" s="206"/>
      <c r="C5" s="246" t="s">
        <v>71</v>
      </c>
      <c r="D5" s="207"/>
      <c r="E5" s="208">
        <f>Beitragsrechner!F16</f>
        <v>0</v>
      </c>
      <c r="F5" s="209"/>
    </row>
    <row r="6" spans="2:8" ht="25.5" customHeight="1">
      <c r="B6" s="206"/>
      <c r="C6" s="246" t="s">
        <v>72</v>
      </c>
      <c r="D6" s="207"/>
      <c r="E6" s="208">
        <f>Beitragsrechner!J12</f>
        <v>0</v>
      </c>
      <c r="F6" s="209"/>
    </row>
    <row r="7" spans="2:8" ht="25.5" customHeight="1">
      <c r="B7" s="206"/>
      <c r="C7" s="246" t="s">
        <v>73</v>
      </c>
      <c r="D7" s="207"/>
      <c r="E7" s="208">
        <f>Beitragsrechner!J14</f>
        <v>0</v>
      </c>
      <c r="F7" s="209"/>
    </row>
    <row r="8" spans="2:8" ht="25.5" customHeight="1">
      <c r="B8" s="206"/>
      <c r="C8" s="149" t="s">
        <v>74</v>
      </c>
      <c r="D8" s="207"/>
      <c r="E8" s="208">
        <f>MAX((Beitragsrechner!J16-200000)*0.1,0)</f>
        <v>0</v>
      </c>
      <c r="F8" s="209"/>
    </row>
    <row r="9" spans="2:8" ht="25.5" customHeight="1" thickBot="1">
      <c r="B9" s="206"/>
      <c r="C9" s="210" t="s">
        <v>75</v>
      </c>
      <c r="D9" s="211"/>
      <c r="E9" s="212">
        <f>SUM(E5:E8)</f>
        <v>0</v>
      </c>
      <c r="F9" s="209"/>
    </row>
    <row r="10" spans="2:8">
      <c r="B10" s="206"/>
      <c r="C10" s="149"/>
      <c r="D10" s="207"/>
      <c r="E10" s="208"/>
      <c r="F10" s="209"/>
    </row>
    <row r="11" spans="2:8" ht="18" customHeight="1">
      <c r="B11" s="204"/>
      <c r="C11" s="251" t="s">
        <v>76</v>
      </c>
      <c r="D11" s="213"/>
      <c r="E11" s="214"/>
      <c r="F11" s="205"/>
    </row>
    <row r="12" spans="2:8" ht="25.5" customHeight="1">
      <c r="B12" s="206"/>
      <c r="C12" s="239" t="s">
        <v>77</v>
      </c>
      <c r="D12" s="240"/>
      <c r="E12" s="241">
        <f>IF(Beitragsrechner!F19&lt;&gt;"Auswahl treffen",Beitragsrechner!F19*6800,0)</f>
        <v>0</v>
      </c>
      <c r="F12" s="242"/>
      <c r="G12" s="243" t="s">
        <v>78</v>
      </c>
      <c r="H12" s="243"/>
    </row>
    <row r="13" spans="2:8" ht="25.5" customHeight="1" thickBot="1">
      <c r="B13" s="206"/>
      <c r="C13" s="210" t="s">
        <v>79</v>
      </c>
      <c r="D13" s="211"/>
      <c r="E13" s="212">
        <f>SUM(E12)</f>
        <v>0</v>
      </c>
      <c r="F13" s="209"/>
    </row>
    <row r="14" spans="2:8">
      <c r="B14" s="206"/>
      <c r="C14" s="164"/>
      <c r="D14" s="164"/>
      <c r="E14" s="208"/>
      <c r="F14" s="209"/>
    </row>
    <row r="15" spans="2:8" ht="18" customHeight="1" thickBot="1">
      <c r="B15" s="206"/>
      <c r="C15" s="215" t="s">
        <v>80</v>
      </c>
      <c r="D15" s="195"/>
      <c r="E15" s="216">
        <f>MAX(E9-E13,0)</f>
        <v>0</v>
      </c>
      <c r="F15" s="209"/>
    </row>
    <row r="16" spans="2:8" ht="13.5" thickTop="1">
      <c r="B16" s="217"/>
      <c r="C16" s="170"/>
      <c r="D16" s="170"/>
      <c r="E16" s="245"/>
      <c r="F16" s="218"/>
    </row>
    <row r="18" spans="2:8">
      <c r="B18" s="197"/>
      <c r="C18" s="148"/>
      <c r="D18" s="148"/>
      <c r="E18" s="198"/>
      <c r="F18" s="199"/>
    </row>
    <row r="19" spans="2:8" ht="18" customHeight="1">
      <c r="B19" s="200" t="s">
        <v>81</v>
      </c>
      <c r="C19" s="219"/>
      <c r="D19" s="219"/>
      <c r="E19" s="220"/>
      <c r="F19" s="221"/>
    </row>
    <row r="20" spans="2:8" ht="25.5" customHeight="1">
      <c r="B20" s="206"/>
      <c r="C20" s="149" t="s">
        <v>82</v>
      </c>
      <c r="D20" s="207"/>
      <c r="E20" s="208">
        <f>Beitragsrechner!F14*0.8</f>
        <v>0</v>
      </c>
      <c r="F20" s="209"/>
    </row>
    <row r="21" spans="2:8" ht="25.5" customHeight="1">
      <c r="B21" s="206"/>
      <c r="C21" s="149" t="s">
        <v>77</v>
      </c>
      <c r="D21" s="207"/>
      <c r="E21" s="208">
        <f>IF(Beitragsrechner!F19&lt;&gt;"Auswahl treffen",Beitragsrechner!F19*6800,0)</f>
        <v>0</v>
      </c>
      <c r="F21" s="209"/>
    </row>
    <row r="22" spans="2:8">
      <c r="B22" s="206"/>
      <c r="C22" s="164"/>
      <c r="D22" s="164"/>
      <c r="E22" s="208"/>
      <c r="F22" s="209"/>
    </row>
    <row r="23" spans="2:8" ht="18" customHeight="1" thickBot="1">
      <c r="B23" s="206"/>
      <c r="C23" s="215" t="s">
        <v>80</v>
      </c>
      <c r="D23" s="195"/>
      <c r="E23" s="216">
        <f>E20-E21</f>
        <v>0</v>
      </c>
      <c r="F23" s="209"/>
    </row>
    <row r="24" spans="2:8" ht="13.5" thickTop="1">
      <c r="B24" s="217"/>
      <c r="C24" s="170"/>
      <c r="D24" s="170"/>
      <c r="E24" s="245"/>
      <c r="F24" s="218"/>
    </row>
    <row r="25" spans="2:8" ht="13.5" thickBot="1">
      <c r="E25" s="250"/>
    </row>
    <row r="26" spans="2:8">
      <c r="B26" s="222"/>
      <c r="C26" s="223"/>
      <c r="D26" s="223"/>
      <c r="E26" s="224"/>
      <c r="F26" s="225"/>
    </row>
    <row r="27" spans="2:8" ht="15.75" thickBot="1">
      <c r="B27" s="226"/>
      <c r="C27" s="215" t="s">
        <v>51</v>
      </c>
      <c r="D27" s="195"/>
      <c r="E27" s="216">
        <f>IF(H27,E23,E15)</f>
        <v>0</v>
      </c>
      <c r="F27" s="227"/>
      <c r="H27" s="228" t="b">
        <f>Beitragsrechner!F12="Ja"</f>
        <v>0</v>
      </c>
    </row>
    <row r="28" spans="2:8" ht="14.25" thickTop="1" thickBot="1">
      <c r="B28" s="229"/>
      <c r="C28" s="176"/>
      <c r="D28" s="176"/>
      <c r="E28" s="230"/>
      <c r="F28" s="231"/>
    </row>
  </sheetData>
  <sheetProtection algorithmName="SHA-512" hashValue="JpCfzd4/TCjDlYSrkcIN1HXJZcBtR/mkNg+/r/8AOAGF2H12Ghb50aM2u3TAlgvMBLSvkVoxdk82j+sIiV84JA==" saltValue="tNscJNfrTkFSfeB61tOl2w==" spinCount="100000" sheet="1" objects="1" scenarios="1"/>
  <mergeCells count="1">
    <mergeCell ref="C4:E4"/>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FFC000"/>
    <pageSetUpPr fitToPage="1"/>
  </sheetPr>
  <dimension ref="A1:S56"/>
  <sheetViews>
    <sheetView zoomScaleNormal="100" workbookViewId="0">
      <selection activeCell="C26" sqref="C26"/>
    </sheetView>
  </sheetViews>
  <sheetFormatPr defaultColWidth="11.42578125" defaultRowHeight="12.75"/>
  <cols>
    <col min="1" max="1" width="60.5703125" customWidth="1"/>
    <col min="2" max="2" width="7.5703125" customWidth="1"/>
    <col min="3" max="3" width="19.42578125" bestFit="1" customWidth="1"/>
    <col min="4" max="4" width="2.5703125" customWidth="1"/>
    <col min="5" max="5" width="20.42578125" bestFit="1" customWidth="1"/>
    <col min="6" max="6" width="2.5703125" customWidth="1"/>
    <col min="7" max="7" width="18.28515625" customWidth="1"/>
    <col min="8" max="8" width="2.5703125" customWidth="1"/>
    <col min="9" max="9" width="18" customWidth="1"/>
    <col min="10" max="10" width="2.42578125" customWidth="1"/>
    <col min="11" max="11" width="20.28515625" customWidth="1"/>
    <col min="12" max="12" width="2.42578125" customWidth="1"/>
    <col min="13" max="13" width="63" style="5" customWidth="1"/>
  </cols>
  <sheetData>
    <row r="1" spans="1:15" ht="18">
      <c r="A1" s="8" t="s">
        <v>83</v>
      </c>
      <c r="B1" s="9"/>
      <c r="C1" s="9"/>
      <c r="D1" s="9"/>
      <c r="E1" s="10"/>
      <c r="F1" s="10"/>
      <c r="G1" s="10"/>
      <c r="H1" s="10"/>
      <c r="I1" s="10"/>
      <c r="J1" s="10"/>
      <c r="K1" s="10"/>
      <c r="M1" s="63"/>
    </row>
    <row r="3" spans="1:15">
      <c r="A3" s="12" t="s">
        <v>84</v>
      </c>
      <c r="B3" s="23"/>
      <c r="C3" s="23"/>
      <c r="D3" s="23"/>
      <c r="E3" s="66" t="s">
        <v>85</v>
      </c>
      <c r="F3" s="60"/>
      <c r="G3" s="60"/>
      <c r="H3" s="60"/>
      <c r="I3" s="60"/>
      <c r="J3" s="60"/>
      <c r="K3" s="60"/>
      <c r="L3" s="60"/>
      <c r="M3" s="62"/>
    </row>
    <row r="4" spans="1:15">
      <c r="A4" s="16" t="s">
        <v>82</v>
      </c>
      <c r="B4" s="20"/>
      <c r="C4" s="38"/>
      <c r="D4" s="38"/>
      <c r="E4" s="61"/>
      <c r="F4" s="61"/>
      <c r="G4" s="61"/>
      <c r="H4" s="61"/>
      <c r="I4" s="61"/>
      <c r="J4" s="61"/>
      <c r="K4" s="61"/>
      <c r="L4" s="61"/>
      <c r="M4" s="62"/>
    </row>
    <row r="5" spans="1:15">
      <c r="A5" s="21" t="s">
        <v>86</v>
      </c>
      <c r="B5" s="19" t="s">
        <v>87</v>
      </c>
      <c r="C5" s="43">
        <v>47193</v>
      </c>
      <c r="M5" s="62"/>
    </row>
    <row r="6" spans="1:15">
      <c r="A6" s="14" t="s">
        <v>88</v>
      </c>
      <c r="B6" s="19" t="s">
        <v>87</v>
      </c>
      <c r="C6" s="43">
        <v>153215</v>
      </c>
      <c r="M6" s="62"/>
    </row>
    <row r="7" spans="1:15">
      <c r="A7" s="14"/>
      <c r="M7" s="62"/>
    </row>
    <row r="8" spans="1:15">
      <c r="A8" s="16" t="s">
        <v>89</v>
      </c>
      <c r="B8" s="20"/>
      <c r="C8" s="38"/>
      <c r="D8" s="38"/>
      <c r="M8" s="62"/>
    </row>
    <row r="9" spans="1:15">
      <c r="A9" s="14" t="s">
        <v>90</v>
      </c>
      <c r="B9" s="19" t="s">
        <v>87</v>
      </c>
      <c r="C9">
        <v>185</v>
      </c>
      <c r="M9" s="62"/>
    </row>
    <row r="10" spans="1:15">
      <c r="A10" s="14" t="s">
        <v>91</v>
      </c>
      <c r="B10" s="19" t="s">
        <v>87</v>
      </c>
      <c r="C10">
        <v>130</v>
      </c>
      <c r="K10" s="64"/>
      <c r="M10" s="62"/>
      <c r="O10" s="64"/>
    </row>
    <row r="11" spans="1:15">
      <c r="A11" s="14" t="s">
        <v>92</v>
      </c>
      <c r="B11" s="19" t="s">
        <v>87</v>
      </c>
      <c r="C11">
        <v>65</v>
      </c>
      <c r="K11" s="64"/>
      <c r="M11" s="62"/>
    </row>
    <row r="12" spans="1:15">
      <c r="A12" s="14" t="s">
        <v>93</v>
      </c>
      <c r="B12" s="19" t="s">
        <v>87</v>
      </c>
      <c r="C12">
        <v>100</v>
      </c>
      <c r="M12" s="62"/>
    </row>
    <row r="13" spans="1:15">
      <c r="A13" s="14"/>
      <c r="B13" s="19"/>
      <c r="M13" s="62"/>
    </row>
    <row r="14" spans="1:15">
      <c r="A14" s="14" t="s">
        <v>94</v>
      </c>
      <c r="B14" s="19" t="s">
        <v>87</v>
      </c>
      <c r="C14">
        <v>30</v>
      </c>
      <c r="D14" s="59"/>
      <c r="E14" s="97">
        <f>C14/C10*0.9</f>
        <v>0.2076923076923077</v>
      </c>
      <c r="F14" s="59"/>
      <c r="G14" s="59"/>
      <c r="H14" s="59"/>
      <c r="I14" s="59"/>
      <c r="J14" s="59"/>
      <c r="K14" s="59"/>
      <c r="L14" s="59"/>
    </row>
    <row r="15" spans="1:15">
      <c r="A15" s="14"/>
      <c r="M15" s="62"/>
    </row>
    <row r="16" spans="1:15">
      <c r="A16" s="14"/>
      <c r="M16" s="62"/>
    </row>
    <row r="17" spans="1:13">
      <c r="A17" s="12" t="s">
        <v>95</v>
      </c>
      <c r="B17" s="23"/>
      <c r="C17" s="23"/>
      <c r="D17" s="23"/>
      <c r="E17" s="23"/>
      <c r="F17" s="23"/>
      <c r="G17" s="23"/>
      <c r="H17" s="23"/>
      <c r="I17" s="23"/>
      <c r="J17" s="23"/>
      <c r="K17" s="23"/>
      <c r="L17" s="24"/>
      <c r="M17" s="25"/>
    </row>
    <row r="18" spans="1:13">
      <c r="A18" s="31"/>
      <c r="B18" s="32"/>
      <c r="C18" s="36" t="s">
        <v>96</v>
      </c>
      <c r="D18" s="33">
        <v>1</v>
      </c>
      <c r="E18" s="36" t="s">
        <v>15</v>
      </c>
      <c r="F18" s="33">
        <v>2</v>
      </c>
      <c r="G18" s="36" t="s">
        <v>15</v>
      </c>
      <c r="H18" s="33">
        <v>3</v>
      </c>
      <c r="I18" s="36" t="s">
        <v>15</v>
      </c>
      <c r="J18" s="36">
        <v>4</v>
      </c>
      <c r="K18" s="36" t="s">
        <v>15</v>
      </c>
      <c r="L18" s="34">
        <v>5</v>
      </c>
      <c r="M18" s="35" t="s">
        <v>97</v>
      </c>
    </row>
    <row r="19" spans="1:13">
      <c r="A19" s="14"/>
      <c r="C19" s="6" t="s">
        <v>98</v>
      </c>
      <c r="D19" s="7"/>
      <c r="E19" s="6" t="s">
        <v>98</v>
      </c>
      <c r="F19" s="7"/>
      <c r="G19" s="6" t="s">
        <v>98</v>
      </c>
      <c r="H19" s="7"/>
      <c r="I19" s="6" t="s">
        <v>98</v>
      </c>
      <c r="J19" s="37"/>
      <c r="K19" s="6" t="s">
        <v>98</v>
      </c>
      <c r="L19" s="39"/>
      <c r="M19" s="41"/>
    </row>
    <row r="20" spans="1:13">
      <c r="A20" s="15" t="s">
        <v>95</v>
      </c>
      <c r="B20" s="16" t="s">
        <v>99</v>
      </c>
      <c r="C20" s="2"/>
      <c r="D20" s="3"/>
      <c r="E20" s="2"/>
      <c r="F20" s="3"/>
      <c r="G20" s="2"/>
      <c r="H20" s="3"/>
      <c r="I20" s="38"/>
      <c r="J20" s="38"/>
      <c r="K20" s="2"/>
      <c r="L20" s="17"/>
      <c r="M20" s="25"/>
    </row>
    <row r="21" spans="1:13">
      <c r="A21" s="18" t="s">
        <v>100</v>
      </c>
      <c r="B21" s="19"/>
      <c r="C21" s="82" t="b">
        <f ca="1">IF(Beitragsrechner!AC23&lt;=18,TRUE,FALSE)</f>
        <v>0</v>
      </c>
      <c r="D21" s="83"/>
      <c r="E21" s="84" t="b">
        <f ca="1">IF(Beitragsrechner!AC34&lt;=18,TRUE,FALSE)</f>
        <v>0</v>
      </c>
      <c r="F21" s="85"/>
      <c r="G21" s="84" t="b">
        <f ca="1">IF(Beitragsrechner!AC43&lt;=18,TRUE,FALSE)</f>
        <v>0</v>
      </c>
      <c r="H21" s="85"/>
      <c r="I21" s="84" t="b">
        <f ca="1">IF(Beitragsrechner!AC52&lt;=18,TRUE,FALSE)</f>
        <v>0</v>
      </c>
      <c r="J21" s="85"/>
      <c r="K21" s="84" t="b">
        <f ca="1">IF(Beitragsrechner!AC62&lt;=18,TRUE,FALSE)</f>
        <v>0</v>
      </c>
      <c r="L21" s="85"/>
      <c r="M21" s="25" t="s">
        <v>101</v>
      </c>
    </row>
    <row r="22" spans="1:13">
      <c r="A22" s="18" t="s">
        <v>102</v>
      </c>
      <c r="B22" s="19"/>
      <c r="C22" s="82" t="b">
        <f>OR(Beitragsrechner!F23="Schulergänzende Betreuung",Beitragsrechner!J25="Ja")</f>
        <v>1</v>
      </c>
      <c r="D22" s="83"/>
      <c r="E22" s="84" t="b">
        <f>OR(Beitragsrechner!F32="Schulergänzende Betreuung",Beitragsrechner!J34="Ja")</f>
        <v>0</v>
      </c>
      <c r="F22" s="85"/>
      <c r="G22" s="84" t="b">
        <f>OR(Beitragsrechner!F41="Schulergänzende Betreuung",Beitragsrechner!J43="Ja")</f>
        <v>0</v>
      </c>
      <c r="H22" s="85"/>
      <c r="I22" s="84" t="b">
        <f>OR(Beitragsrechner!F50="Schulergänzende Betreuung",Beitragsrechner!J52="Ja")</f>
        <v>0</v>
      </c>
      <c r="J22" s="85"/>
      <c r="K22" s="84" t="b">
        <f>OR(Beitragsrechner!F59="Schulergänzende Betreuung",Beitragsrechner!J61="Ja")</f>
        <v>0</v>
      </c>
      <c r="L22" s="85"/>
      <c r="M22" s="25" t="s">
        <v>103</v>
      </c>
    </row>
    <row r="23" spans="1:13">
      <c r="A23" s="18" t="s">
        <v>104</v>
      </c>
      <c r="B23" s="19"/>
      <c r="C23" s="82" t="b">
        <f>AND(C22,Beitragsrechner!F25="Ja")</f>
        <v>0</v>
      </c>
      <c r="D23" s="83"/>
      <c r="E23" s="84" t="b">
        <f>AND(E22,Beitragsrechner!F34="Ja")</f>
        <v>0</v>
      </c>
      <c r="F23" s="85"/>
      <c r="G23" s="84" t="b">
        <f>AND(G22,Beitragsrechner!F43="Ja")</f>
        <v>0</v>
      </c>
      <c r="H23" s="85"/>
      <c r="I23" s="84" t="b">
        <f>AND(I22,Beitragsrechner!F52="Ja")</f>
        <v>0</v>
      </c>
      <c r="J23" s="85"/>
      <c r="K23" s="84" t="b">
        <f>AND(K22,Beitragsrechner!F61="Ja")</f>
        <v>0</v>
      </c>
      <c r="L23" s="85"/>
      <c r="M23" s="25" t="s">
        <v>105</v>
      </c>
    </row>
    <row r="24" spans="1:13">
      <c r="A24" s="18" t="s">
        <v>106</v>
      </c>
      <c r="B24" s="19" t="s">
        <v>87</v>
      </c>
      <c r="C24" s="82">
        <f>Beitragsrechner!F27</f>
        <v>0</v>
      </c>
      <c r="D24" s="83"/>
      <c r="E24" s="84">
        <f>Beitragsrechner!F36</f>
        <v>0</v>
      </c>
      <c r="F24" s="85"/>
      <c r="G24" s="84">
        <f>Beitragsrechner!F45</f>
        <v>0</v>
      </c>
      <c r="H24" s="85"/>
      <c r="I24" s="84">
        <f>Beitragsrechner!F54</f>
        <v>0</v>
      </c>
      <c r="J24" s="85"/>
      <c r="K24" s="84">
        <f>Beitragsrechner!F63</f>
        <v>0</v>
      </c>
      <c r="L24" s="85"/>
      <c r="M24" s="25"/>
    </row>
    <row r="25" spans="1:13">
      <c r="A25" s="18" t="s">
        <v>107</v>
      </c>
      <c r="B25" s="19" t="s">
        <v>108</v>
      </c>
      <c r="C25" s="86">
        <f>MIN(1/5*IF(AND('Rechner Kita SE'!C22,Beitragsrechner!F23="Schulergänzende Betreuung"),Beitragsrechner!AA29,Beitragsrechner!AA28),1)</f>
        <v>0</v>
      </c>
      <c r="D25" s="87"/>
      <c r="E25" s="88">
        <f>MIN(1/5*IF(AND('Rechner Kita SE'!E22,Beitragsrechner!F32="Schulergänzende Betreuung"),Beitragsrechner!AA39,Beitragsrechner!AA38),1)</f>
        <v>0</v>
      </c>
      <c r="F25" s="89"/>
      <c r="G25" s="88">
        <f>MIN(1/5*IF(AND('Rechner Kita SE'!G22,Beitragsrechner!F41="Schulergänzende Betreuung"),Beitragsrechner!AA48,Beitragsrechner!AA47),1)</f>
        <v>0</v>
      </c>
      <c r="H25" s="89"/>
      <c r="I25" s="88">
        <f>MIN(1/5*IF(AND('Rechner Kita SE'!I22,Beitragsrechner!F50="Schulergänzende Betreuung"),Beitragsrechner!AA57,Beitragsrechner!AA56),1)</f>
        <v>0</v>
      </c>
      <c r="J25" s="89"/>
      <c r="K25" s="88">
        <f>MIN(1/5*IF(AND('Rechner Kita SE'!K22,Beitragsrechner!F59="Schulergänzende Betreuung"),Beitragsrechner!AA66,Beitragsrechner!AA65),1)</f>
        <v>0</v>
      </c>
      <c r="L25" s="89"/>
      <c r="M25" s="25" t="s">
        <v>109</v>
      </c>
    </row>
    <row r="26" spans="1:13">
      <c r="A26" s="18" t="s">
        <v>110</v>
      </c>
      <c r="B26" s="19" t="s">
        <v>87</v>
      </c>
      <c r="C26" s="82">
        <f>'Berechnung Einkommen'!E27</f>
        <v>0</v>
      </c>
      <c r="D26" s="83"/>
      <c r="E26" s="84">
        <f>'Berechnung Einkommen'!E27</f>
        <v>0</v>
      </c>
      <c r="F26" s="85"/>
      <c r="G26" s="84">
        <f>'Berechnung Einkommen'!E27</f>
        <v>0</v>
      </c>
      <c r="H26" s="85"/>
      <c r="I26" s="84">
        <f>'Berechnung Einkommen'!E27</f>
        <v>0</v>
      </c>
      <c r="J26" s="85"/>
      <c r="K26" s="84">
        <f>'Berechnung Einkommen'!E27</f>
        <v>0</v>
      </c>
      <c r="L26" s="85"/>
      <c r="M26" s="25"/>
    </row>
    <row r="27" spans="1:13">
      <c r="A27" s="18" t="s">
        <v>111</v>
      </c>
      <c r="B27" s="19" t="s">
        <v>112</v>
      </c>
      <c r="C27" s="82" t="e">
        <f>Beitragsrechner!J19-1</f>
        <v>#VALUE!</v>
      </c>
      <c r="D27" s="83"/>
      <c r="E27" s="84" t="e">
        <f>Beitragsrechner!J19-1</f>
        <v>#VALUE!</v>
      </c>
      <c r="F27" s="85"/>
      <c r="G27" s="84" t="e">
        <f>Beitragsrechner!J19-1</f>
        <v>#VALUE!</v>
      </c>
      <c r="H27" s="85"/>
      <c r="I27" s="84" t="e">
        <f>Beitragsrechner!J19-1</f>
        <v>#VALUE!</v>
      </c>
      <c r="J27" s="85"/>
      <c r="K27" s="84" t="e">
        <f>Beitragsrechner!J19-1</f>
        <v>#VALUE!</v>
      </c>
      <c r="L27" s="85"/>
      <c r="M27" s="25" t="s">
        <v>113</v>
      </c>
    </row>
    <row r="28" spans="1:13">
      <c r="A28" s="14"/>
      <c r="B28" s="19"/>
      <c r="C28" s="77"/>
      <c r="D28" s="13"/>
      <c r="E28" s="48"/>
      <c r="F28" s="1"/>
      <c r="G28" s="48"/>
      <c r="H28" s="1"/>
      <c r="I28" s="48"/>
      <c r="J28" s="1"/>
      <c r="K28" s="48"/>
      <c r="L28" s="13"/>
      <c r="M28" s="25"/>
    </row>
    <row r="29" spans="1:13">
      <c r="A29" s="15" t="s">
        <v>114</v>
      </c>
      <c r="B29" s="20"/>
      <c r="C29" s="2"/>
      <c r="D29" s="17"/>
      <c r="E29" s="47"/>
      <c r="F29" s="3"/>
      <c r="G29" s="47"/>
      <c r="H29" s="3"/>
      <c r="I29" s="47"/>
      <c r="J29" s="3"/>
      <c r="K29" s="47"/>
      <c r="L29" s="17"/>
      <c r="M29" s="25"/>
    </row>
    <row r="30" spans="1:13">
      <c r="A30" s="14" t="s">
        <v>115</v>
      </c>
      <c r="B30" s="19" t="s">
        <v>116</v>
      </c>
      <c r="C30" s="77">
        <f>C25*5</f>
        <v>0</v>
      </c>
      <c r="D30" s="77"/>
      <c r="E30" s="77">
        <f t="shared" ref="E30:I30" si="0">E25*5</f>
        <v>0</v>
      </c>
      <c r="F30" s="77"/>
      <c r="G30" s="77">
        <f t="shared" si="0"/>
        <v>0</v>
      </c>
      <c r="H30" s="77"/>
      <c r="I30" s="77">
        <f t="shared" si="0"/>
        <v>0</v>
      </c>
      <c r="J30" s="77"/>
      <c r="K30" s="77">
        <f>K25*5</f>
        <v>0</v>
      </c>
      <c r="M30" s="25" t="s">
        <v>117</v>
      </c>
    </row>
    <row r="31" spans="1:13">
      <c r="A31" s="14" t="s">
        <v>118</v>
      </c>
      <c r="B31" s="19" t="s">
        <v>116</v>
      </c>
      <c r="C31" s="77">
        <f>4*C30</f>
        <v>0</v>
      </c>
      <c r="D31" s="77"/>
      <c r="E31" s="77">
        <f>4*E30</f>
        <v>0</v>
      </c>
      <c r="F31" s="77"/>
      <c r="G31" s="77">
        <f>4*G30</f>
        <v>0</v>
      </c>
      <c r="H31" s="77"/>
      <c r="I31" s="77">
        <f>4*I30</f>
        <v>0</v>
      </c>
      <c r="J31" s="77"/>
      <c r="K31" s="77">
        <f>4*K30</f>
        <v>0</v>
      </c>
      <c r="M31" s="25" t="s">
        <v>119</v>
      </c>
    </row>
    <row r="32" spans="1:13">
      <c r="A32" s="14"/>
      <c r="B32" s="19"/>
      <c r="C32" s="77"/>
      <c r="D32" s="13"/>
      <c r="E32" s="48"/>
      <c r="F32" s="1"/>
      <c r="G32" s="48"/>
      <c r="H32" s="1"/>
      <c r="I32" s="48"/>
      <c r="J32" s="1"/>
      <c r="K32" s="48"/>
      <c r="L32" s="13"/>
      <c r="M32" s="25"/>
    </row>
    <row r="33" spans="1:13">
      <c r="A33" s="15" t="s">
        <v>120</v>
      </c>
      <c r="B33" s="20"/>
      <c r="C33" s="2"/>
      <c r="D33" s="17"/>
      <c r="E33" s="47"/>
      <c r="F33" s="3"/>
      <c r="G33" s="47"/>
      <c r="H33" s="3"/>
      <c r="I33" s="47"/>
      <c r="J33" s="3"/>
      <c r="K33" s="47"/>
      <c r="L33" s="17"/>
      <c r="M33" s="25"/>
    </row>
    <row r="34" spans="1:13">
      <c r="A34" s="14" t="s">
        <v>121</v>
      </c>
      <c r="B34" s="19" t="s">
        <v>108</v>
      </c>
      <c r="C34" s="78" t="e">
        <f>C27*10%</f>
        <v>#VALUE!</v>
      </c>
      <c r="D34" s="78"/>
      <c r="E34" s="78" t="e">
        <f>E27*10%</f>
        <v>#VALUE!</v>
      </c>
      <c r="F34" s="78"/>
      <c r="G34" s="78" t="e">
        <f t="shared" ref="G34:K34" si="1">G27*10%</f>
        <v>#VALUE!</v>
      </c>
      <c r="H34" s="78"/>
      <c r="I34" s="78" t="e">
        <f t="shared" si="1"/>
        <v>#VALUE!</v>
      </c>
      <c r="J34" s="78"/>
      <c r="K34" s="78" t="e">
        <f t="shared" si="1"/>
        <v>#VALUE!</v>
      </c>
      <c r="L34" s="44"/>
      <c r="M34" s="25"/>
    </row>
    <row r="35" spans="1:13">
      <c r="A35" s="14"/>
      <c r="B35" s="19"/>
      <c r="C35" s="77"/>
      <c r="D35" s="13"/>
      <c r="E35" s="48"/>
      <c r="F35" s="1"/>
      <c r="G35" s="48"/>
      <c r="H35" s="1"/>
      <c r="I35" s="48"/>
      <c r="J35" s="1"/>
      <c r="K35" s="48"/>
      <c r="L35" s="13"/>
      <c r="M35" s="25"/>
    </row>
    <row r="36" spans="1:13">
      <c r="A36" s="15" t="s">
        <v>122</v>
      </c>
      <c r="B36" s="20"/>
      <c r="C36" s="2"/>
      <c r="D36" s="17"/>
      <c r="E36" s="47"/>
      <c r="F36" s="3"/>
      <c r="G36" s="47"/>
      <c r="H36" s="3"/>
      <c r="I36" s="47"/>
      <c r="J36" s="3"/>
      <c r="K36" s="47"/>
      <c r="L36" s="17"/>
    </row>
    <row r="37" spans="1:13">
      <c r="A37" s="14" t="s">
        <v>123</v>
      </c>
      <c r="B37" s="19" t="s">
        <v>87</v>
      </c>
      <c r="C37" s="77">
        <f ca="1">IF(C21,$C$9,IF(C22,IF(C23,$C$11,$C$12),$C$10))</f>
        <v>100</v>
      </c>
      <c r="D37" s="77"/>
      <c r="E37" s="77">
        <f ca="1">IF(E21,$C$9,IF(E22,IF(E23,$C$11,$C$12),$C$10))</f>
        <v>130</v>
      </c>
      <c r="F37" s="77"/>
      <c r="G37" s="77">
        <f ca="1">IF(G21,$C$9,IF(G22,IF(G23,$C$11,$C$12),$C$10))</f>
        <v>130</v>
      </c>
      <c r="H37" s="77"/>
      <c r="I37" s="77">
        <f ca="1">IF(I21,$C$9,IF(I22,IF(I23,$C$11,$C$12),$C$10))</f>
        <v>130</v>
      </c>
      <c r="J37" s="77"/>
      <c r="K37" s="77">
        <f ca="1">IF(K21,$C$9,IF(K22,IF(K23,$C$11,$C$12),$C$10))</f>
        <v>130</v>
      </c>
      <c r="L37" s="13"/>
      <c r="M37" s="25" t="s">
        <v>124</v>
      </c>
    </row>
    <row r="38" spans="1:13">
      <c r="A38" s="14" t="s">
        <v>125</v>
      </c>
      <c r="B38" s="19" t="s">
        <v>87</v>
      </c>
      <c r="C38" s="79">
        <f ca="1">MIN(C37,C24)</f>
        <v>0</v>
      </c>
      <c r="D38" s="79"/>
      <c r="E38" s="79">
        <f ca="1">MIN(E37,E24)</f>
        <v>0</v>
      </c>
      <c r="F38" s="79"/>
      <c r="G38" s="79">
        <f t="shared" ref="G38:K38" ca="1" si="2">MIN(G37,G24)</f>
        <v>0</v>
      </c>
      <c r="H38" s="79"/>
      <c r="I38" s="79">
        <f t="shared" ca="1" si="2"/>
        <v>0</v>
      </c>
      <c r="J38" s="79"/>
      <c r="K38" s="79">
        <f t="shared" ca="1" si="2"/>
        <v>0</v>
      </c>
      <c r="L38" s="71"/>
      <c r="M38" s="25" t="s">
        <v>126</v>
      </c>
    </row>
    <row r="39" spans="1:13">
      <c r="A39" s="14"/>
      <c r="B39" s="19"/>
      <c r="C39" s="77"/>
      <c r="D39" s="13"/>
      <c r="E39" s="48"/>
      <c r="F39" s="1"/>
      <c r="G39" s="48"/>
      <c r="H39" s="1"/>
      <c r="I39" s="48"/>
      <c r="J39" s="1"/>
      <c r="K39" s="48"/>
      <c r="L39" s="13"/>
      <c r="M39" s="25"/>
    </row>
    <row r="40" spans="1:13">
      <c r="A40" s="15" t="s">
        <v>127</v>
      </c>
      <c r="B40" s="20"/>
      <c r="C40" s="2"/>
      <c r="D40" s="17"/>
      <c r="E40" s="47"/>
      <c r="F40" s="3"/>
      <c r="G40" s="47"/>
      <c r="H40" s="3"/>
      <c r="I40" s="47"/>
      <c r="J40" s="3"/>
      <c r="K40" s="47"/>
      <c r="L40" s="17"/>
      <c r="M40" s="25"/>
    </row>
    <row r="41" spans="1:13">
      <c r="A41" s="14" t="s">
        <v>128</v>
      </c>
      <c r="B41" s="19" t="s">
        <v>108</v>
      </c>
      <c r="C41" s="80" t="e">
        <f ca="1">IF(C37&gt;0,$C$14/C37*(1-C34),0)</f>
        <v>#VALUE!</v>
      </c>
      <c r="D41" s="80"/>
      <c r="E41" s="80" t="e">
        <f ca="1">IF(E37&gt;0,$C$14/E37*(1-E34),0)</f>
        <v>#VALUE!</v>
      </c>
      <c r="F41" s="80"/>
      <c r="G41" s="80" t="e">
        <f ca="1">IF(G37&gt;0,$C$14/G37*(1-G34),0)</f>
        <v>#VALUE!</v>
      </c>
      <c r="H41" s="80"/>
      <c r="I41" s="80" t="e">
        <f ca="1">IF(I37&gt;0,$C$14/I37*(1-I34),0)</f>
        <v>#VALUE!</v>
      </c>
      <c r="J41" s="80"/>
      <c r="K41" s="80" t="e">
        <f ca="1">IF(K37&gt;0,$C$14/K37*(1-K34),0)</f>
        <v>#VALUE!</v>
      </c>
      <c r="L41" s="72"/>
      <c r="M41" s="26" t="s">
        <v>129</v>
      </c>
    </row>
    <row r="42" spans="1:13">
      <c r="A42" s="14" t="s">
        <v>130</v>
      </c>
      <c r="B42" s="19" t="s">
        <v>108</v>
      </c>
      <c r="C42" s="81" t="e">
        <f ca="1">(1-C41)/($C$6-$C$5)</f>
        <v>#VALUE!</v>
      </c>
      <c r="D42" s="81"/>
      <c r="E42" s="81" t="e">
        <f ca="1">(1-E41)/($C$6-$C$5)</f>
        <v>#VALUE!</v>
      </c>
      <c r="F42" s="81"/>
      <c r="G42" s="81" t="e">
        <f t="shared" ref="G42:K42" ca="1" si="3">(1-G41)/($C$6-$C$5)</f>
        <v>#VALUE!</v>
      </c>
      <c r="H42" s="81"/>
      <c r="I42" s="81" t="e">
        <f t="shared" ca="1" si="3"/>
        <v>#VALUE!</v>
      </c>
      <c r="J42" s="81"/>
      <c r="K42" s="81" t="e">
        <f t="shared" ca="1" si="3"/>
        <v>#VALUE!</v>
      </c>
      <c r="L42" s="4"/>
      <c r="M42" s="27" t="s">
        <v>131</v>
      </c>
    </row>
    <row r="43" spans="1:13">
      <c r="A43" s="14"/>
      <c r="B43" s="19"/>
      <c r="C43" s="81"/>
      <c r="D43" s="73"/>
      <c r="E43" s="50"/>
      <c r="F43" s="4"/>
      <c r="G43" s="50"/>
      <c r="H43" s="4"/>
      <c r="I43" s="50"/>
      <c r="J43" s="4"/>
      <c r="K43" s="50"/>
      <c r="L43" s="4"/>
      <c r="M43" s="29"/>
    </row>
    <row r="44" spans="1:13">
      <c r="A44" s="15" t="s">
        <v>132</v>
      </c>
      <c r="B44" s="20"/>
      <c r="C44" s="2"/>
      <c r="D44" s="17"/>
      <c r="E44" s="47"/>
      <c r="F44" s="3"/>
      <c r="G44" s="47"/>
      <c r="H44" s="3"/>
      <c r="I44" s="47"/>
      <c r="J44" s="3"/>
      <c r="K44" s="47"/>
      <c r="L44" s="17"/>
      <c r="M44" s="25"/>
    </row>
    <row r="45" spans="1:13">
      <c r="A45" s="14" t="s">
        <v>133</v>
      </c>
      <c r="B45" s="19" t="s">
        <v>108</v>
      </c>
      <c r="C45" s="80" t="e">
        <f ca="1">IF(MIN(C41+C42*(C26-$C$5),1)&lt;0,0,MIN(C41+C42*(C26-$C$5),1))</f>
        <v>#VALUE!</v>
      </c>
      <c r="D45" s="80"/>
      <c r="E45" s="80" t="e">
        <f t="shared" ref="E45:K45" ca="1" si="4">IF(MIN(E41+E42*(E26-$C$5),1)&lt;0,0,MIN(E41+E42*(E26-$C$5),1))</f>
        <v>#VALUE!</v>
      </c>
      <c r="F45" s="80"/>
      <c r="G45" s="80" t="e">
        <f t="shared" ca="1" si="4"/>
        <v>#VALUE!</v>
      </c>
      <c r="H45" s="80"/>
      <c r="I45" s="80" t="e">
        <f t="shared" ca="1" si="4"/>
        <v>#VALUE!</v>
      </c>
      <c r="J45" s="80"/>
      <c r="K45" s="80" t="e">
        <f t="shared" ca="1" si="4"/>
        <v>#VALUE!</v>
      </c>
      <c r="L45" s="45"/>
      <c r="M45" s="30" t="s">
        <v>134</v>
      </c>
    </row>
    <row r="46" spans="1:13">
      <c r="A46" s="14" t="s">
        <v>135</v>
      </c>
      <c r="B46" s="19" t="s">
        <v>87</v>
      </c>
      <c r="C46" s="67" t="e">
        <f ca="1">C38*C45</f>
        <v>#VALUE!</v>
      </c>
      <c r="D46" s="67"/>
      <c r="E46" s="67" t="e">
        <f t="shared" ref="E46:K46" ca="1" si="5">E38*E45</f>
        <v>#VALUE!</v>
      </c>
      <c r="F46" s="67"/>
      <c r="G46" s="67" t="e">
        <f t="shared" ca="1" si="5"/>
        <v>#VALUE!</v>
      </c>
      <c r="H46" s="67"/>
      <c r="I46" s="67" t="e">
        <f t="shared" ca="1" si="5"/>
        <v>#VALUE!</v>
      </c>
      <c r="J46" s="67"/>
      <c r="K46" s="67" t="e">
        <f t="shared" ca="1" si="5"/>
        <v>#VALUE!</v>
      </c>
      <c r="L46" s="22"/>
      <c r="M46" s="29" t="s">
        <v>136</v>
      </c>
    </row>
    <row r="47" spans="1:13">
      <c r="A47" s="14"/>
      <c r="B47" s="19"/>
      <c r="C47" s="81"/>
      <c r="D47" s="73"/>
      <c r="E47" s="50"/>
      <c r="F47" s="40"/>
      <c r="G47" s="50"/>
      <c r="H47" s="40"/>
      <c r="I47" s="50"/>
      <c r="J47" s="40"/>
      <c r="K47" s="50"/>
      <c r="M47" s="27"/>
    </row>
    <row r="48" spans="1:13">
      <c r="A48" s="15" t="s">
        <v>137</v>
      </c>
      <c r="B48" s="20"/>
      <c r="C48" s="2"/>
      <c r="D48" s="17"/>
      <c r="E48" s="47"/>
      <c r="F48" s="3"/>
      <c r="G48" s="47"/>
      <c r="H48" s="3"/>
      <c r="I48" s="47"/>
      <c r="J48" s="3"/>
      <c r="K48" s="47"/>
      <c r="L48" s="38"/>
      <c r="M48" s="25"/>
    </row>
    <row r="49" spans="1:19">
      <c r="A49" s="42" t="s">
        <v>138</v>
      </c>
      <c r="B49" s="19" t="s">
        <v>87</v>
      </c>
      <c r="C49" s="68">
        <f>IF(OR(Beitragsrechner!F23="Kindertagesstätte (Kita)",Beitragsrechner!F23="Schulergänzende Betreuung"),C38*(1-C45),0)</f>
        <v>0</v>
      </c>
      <c r="D49" s="68"/>
      <c r="E49" s="68" t="e">
        <f ca="1">IF(OR(Beitragsrechner!F32="Kindertagesstätte (Kita)",Beitragsrechner!F32="Schulergänzende Betreuung"),E38*(1-E45),0)</f>
        <v>#VALUE!</v>
      </c>
      <c r="F49" s="68"/>
      <c r="G49" s="68">
        <f>IF(OR(Beitragsrechner!F41="Kindertagesstätte (Kita)",Beitragsrechner!F41="Schulergänzende Betreuung"),G38*(1-G45),0)</f>
        <v>0</v>
      </c>
      <c r="H49" s="68"/>
      <c r="I49" s="68">
        <f>IF(OR(Beitragsrechner!F50="Kindertagesstätte (Kita)",Beitragsrechner!F50="Schulergänzende Betreuung"),I38*(1-I45),0)</f>
        <v>0</v>
      </c>
      <c r="J49" s="68"/>
      <c r="K49" s="68">
        <f>IF(OR(Beitragsrechner!F59="Kindertagesstätte (Kita)",Beitragsrechner!F59="Schulergänzende Betreuung"),K38*(1-K45),0)</f>
        <v>0</v>
      </c>
      <c r="L49" s="46"/>
      <c r="M49" s="28" t="s">
        <v>139</v>
      </c>
    </row>
    <row r="50" spans="1:19">
      <c r="A50" s="98" t="s">
        <v>140</v>
      </c>
      <c r="B50" s="234" t="s">
        <v>87</v>
      </c>
      <c r="C50" s="235" t="e">
        <f>IF(C34&gt;0,MAX($C$14*(C34-1)*-1-C46,0),MAX($C$14-C46,0))</f>
        <v>#VALUE!</v>
      </c>
      <c r="D50" s="236"/>
      <c r="E50" s="235" t="e">
        <f>IF(E34&gt;0,MAX($C$14*(E34-1)*-1-E46,0),MAX($C$14-E46,0))</f>
        <v>#VALUE!</v>
      </c>
      <c r="F50" s="237"/>
      <c r="G50" s="235" t="e">
        <f>IF(G34&gt;0,MAX($C$14*(G34-1)*-1-G46,0),MAX($C$14-G46,0))</f>
        <v>#VALUE!</v>
      </c>
      <c r="H50" s="237"/>
      <c r="I50" s="235" t="e">
        <f>IF(I34&gt;0,MAX($C$14*(I34-1)*-1-I46,0),MAX($C$14-I46,0))</f>
        <v>#VALUE!</v>
      </c>
      <c r="J50" s="237"/>
      <c r="K50" s="235" t="e">
        <f>IF(K34&gt;0,MAX($C$14*(K34-1)*-1-K46,0),MAX($C$14-K46,0))</f>
        <v>#VALUE!</v>
      </c>
      <c r="L50" s="237"/>
      <c r="M50" s="238"/>
      <c r="N50" s="98" t="s">
        <v>141</v>
      </c>
      <c r="O50" s="98"/>
      <c r="P50" s="98"/>
      <c r="Q50" s="98"/>
      <c r="R50" s="98"/>
      <c r="S50" s="98"/>
    </row>
    <row r="51" spans="1:19">
      <c r="A51" s="54" t="s">
        <v>142</v>
      </c>
      <c r="B51" s="55" t="s">
        <v>87</v>
      </c>
      <c r="C51" s="69" t="e">
        <f>MAX(C49-C50,0)</f>
        <v>#VALUE!</v>
      </c>
      <c r="D51" s="69"/>
      <c r="E51" s="69" t="e">
        <f ca="1">MAX(E49-E50,0)</f>
        <v>#VALUE!</v>
      </c>
      <c r="F51" s="69"/>
      <c r="G51" s="69" t="e">
        <f>MAX(G49-G50,0)</f>
        <v>#VALUE!</v>
      </c>
      <c r="H51" s="69"/>
      <c r="I51" s="69" t="e">
        <f>MAX(I49-I50,0)</f>
        <v>#VALUE!</v>
      </c>
      <c r="J51" s="69"/>
      <c r="K51" s="69" t="e">
        <f t="shared" ref="K51" si="6">MAX(K49-K50,0)</f>
        <v>#VALUE!</v>
      </c>
      <c r="L51" s="46"/>
      <c r="M51" s="56" t="s">
        <v>143</v>
      </c>
    </row>
    <row r="52" spans="1:19">
      <c r="A52" t="s">
        <v>144</v>
      </c>
      <c r="B52" s="19" t="s">
        <v>87</v>
      </c>
      <c r="C52" s="67" t="e">
        <f>C51*C31</f>
        <v>#VALUE!</v>
      </c>
      <c r="D52" s="76"/>
      <c r="E52" s="51" t="e">
        <f ca="1">E51*E31</f>
        <v>#VALUE!</v>
      </c>
      <c r="F52" s="22"/>
      <c r="G52" s="51" t="e">
        <f>G51*G31</f>
        <v>#VALUE!</v>
      </c>
      <c r="H52" s="22"/>
      <c r="I52" s="51" t="e">
        <f>I51*I31</f>
        <v>#VALUE!</v>
      </c>
      <c r="J52" s="22"/>
      <c r="K52" s="51" t="e">
        <f>K51*K31</f>
        <v>#VALUE!</v>
      </c>
      <c r="L52" s="58"/>
      <c r="M52" s="57" t="s">
        <v>145</v>
      </c>
    </row>
    <row r="53" spans="1:19">
      <c r="A53" t="s">
        <v>146</v>
      </c>
      <c r="B53" s="19"/>
      <c r="C53" s="93">
        <f>IF(OR(Beitragsrechner!F23="Kindertagesstätte (Kita)",Beitragsrechner!F23="Schulergänzende Betreuung"),C31*(C24-C51),0)</f>
        <v>0</v>
      </c>
      <c r="D53" s="22"/>
      <c r="E53" s="92" t="e">
        <f ca="1">IF(OR(Beitragsrechner!F32="Kindertagesstätte (Kita)",Beitragsrechner!F32="Schulergänzende Betreuung"),E31*(E24-E51),0)</f>
        <v>#VALUE!</v>
      </c>
      <c r="F53" s="22"/>
      <c r="G53" s="92">
        <f>IF(OR(Beitragsrechner!F41="Kindertagesstätte (Kita)",Beitragsrechner!F41="Schulergänzende Betreuung"),G31*(G24-G51),0)</f>
        <v>0</v>
      </c>
      <c r="H53" s="92"/>
      <c r="I53" s="92">
        <f>IF(OR(Beitragsrechner!F50="Kindertagesstätte (Kita)",Beitragsrechner!F50="Schulergänzende Betreuung"),I31*(I24-I51),0)</f>
        <v>0</v>
      </c>
      <c r="J53" s="92"/>
      <c r="K53" s="92">
        <f>IF(OR(Beitragsrechner!F59="Kindertagesstätte (Kita)",Beitragsrechner!F59="Schulergänzende Betreuung"),K31*(K24-K51),0)</f>
        <v>0</v>
      </c>
      <c r="L53" s="46"/>
      <c r="M53" s="94"/>
    </row>
    <row r="54" spans="1:19">
      <c r="A54" s="10"/>
      <c r="B54" s="52"/>
      <c r="C54" s="65"/>
      <c r="D54" s="19"/>
      <c r="E54" s="53"/>
      <c r="F54" s="53"/>
      <c r="G54" s="53"/>
      <c r="H54" s="53"/>
      <c r="I54" s="53"/>
      <c r="J54" s="53"/>
      <c r="K54" s="53"/>
      <c r="L54" s="45"/>
      <c r="M54"/>
    </row>
    <row r="55" spans="1:19">
      <c r="B55" s="19"/>
      <c r="C55" s="19"/>
      <c r="D55" s="19"/>
      <c r="E55" s="43"/>
      <c r="F55" s="43"/>
      <c r="G55" s="43"/>
      <c r="H55" s="43"/>
      <c r="I55" s="43"/>
      <c r="J55" s="43"/>
      <c r="K55" s="43"/>
      <c r="L55" s="45"/>
      <c r="M55"/>
    </row>
    <row r="56" spans="1:19">
      <c r="K56" s="43"/>
    </row>
  </sheetData>
  <pageMargins left="0.7" right="0.7" top="0.78740157499999996" bottom="0.78740157499999996" header="0.3" footer="0.3"/>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tabColor rgb="FFFFFF00"/>
    <pageSetUpPr fitToPage="1"/>
  </sheetPr>
  <dimension ref="A1:O66"/>
  <sheetViews>
    <sheetView zoomScale="85" zoomScaleNormal="85" workbookViewId="0">
      <selection activeCell="C35" sqref="C35"/>
    </sheetView>
  </sheetViews>
  <sheetFormatPr defaultColWidth="11.42578125" defaultRowHeight="12.75"/>
  <cols>
    <col min="1" max="1" width="60.5703125" customWidth="1"/>
    <col min="2" max="2" width="7.5703125" customWidth="1"/>
    <col min="3" max="3" width="19.42578125" bestFit="1" customWidth="1"/>
    <col min="4" max="4" width="2.28515625" customWidth="1"/>
    <col min="5" max="5" width="20.42578125" bestFit="1" customWidth="1"/>
    <col min="6" max="6" width="2.5703125" customWidth="1"/>
    <col min="7" max="7" width="18" customWidth="1"/>
    <col min="8" max="8" width="2.42578125" customWidth="1"/>
    <col min="9" max="9" width="20.28515625" customWidth="1"/>
    <col min="10" max="10" width="2.42578125" customWidth="1"/>
    <col min="11" max="11" width="20.28515625" customWidth="1"/>
    <col min="12" max="12" width="2.42578125" customWidth="1"/>
    <col min="13" max="13" width="74.7109375" style="5" customWidth="1"/>
  </cols>
  <sheetData>
    <row r="1" spans="1:15" ht="18">
      <c r="A1" s="8" t="s">
        <v>147</v>
      </c>
      <c r="B1" s="9"/>
      <c r="C1" s="9"/>
      <c r="D1" s="9"/>
      <c r="E1" s="10"/>
      <c r="F1" s="10"/>
      <c r="G1" s="10"/>
      <c r="H1" s="10"/>
      <c r="I1" s="10"/>
      <c r="M1" s="63"/>
    </row>
    <row r="3" spans="1:15">
      <c r="A3" s="12" t="s">
        <v>84</v>
      </c>
      <c r="B3" s="23"/>
      <c r="C3" s="23"/>
      <c r="D3" s="23"/>
      <c r="E3" s="66" t="s">
        <v>85</v>
      </c>
      <c r="F3" s="60"/>
      <c r="G3" s="60"/>
      <c r="H3" s="60"/>
      <c r="I3" s="60"/>
      <c r="J3" s="60"/>
      <c r="K3" s="60"/>
      <c r="L3" s="60"/>
      <c r="M3" s="62"/>
    </row>
    <row r="4" spans="1:15">
      <c r="A4" s="16" t="s">
        <v>82</v>
      </c>
      <c r="B4" s="20"/>
      <c r="C4" s="38"/>
      <c r="D4" s="38"/>
      <c r="E4" s="61"/>
      <c r="F4" s="61"/>
      <c r="G4" s="61"/>
      <c r="H4" s="61"/>
      <c r="I4" s="61"/>
      <c r="J4" s="61"/>
      <c r="K4" s="61"/>
      <c r="L4" s="61"/>
      <c r="M4" s="62"/>
    </row>
    <row r="5" spans="1:15">
      <c r="A5" s="21" t="s">
        <v>86</v>
      </c>
      <c r="B5" s="19" t="s">
        <v>87</v>
      </c>
      <c r="C5" s="43">
        <v>47193</v>
      </c>
      <c r="M5" s="62"/>
    </row>
    <row r="6" spans="1:15">
      <c r="A6" s="14" t="s">
        <v>88</v>
      </c>
      <c r="B6" s="19" t="s">
        <v>87</v>
      </c>
      <c r="C6" s="43">
        <v>153215</v>
      </c>
      <c r="M6" s="62"/>
    </row>
    <row r="7" spans="1:15">
      <c r="A7" s="14"/>
      <c r="M7" s="62"/>
    </row>
    <row r="8" spans="1:15">
      <c r="A8" s="16" t="s">
        <v>148</v>
      </c>
      <c r="B8" s="20"/>
      <c r="C8" s="38"/>
      <c r="D8" s="38"/>
      <c r="E8" t="s">
        <v>149</v>
      </c>
      <c r="M8" s="62"/>
    </row>
    <row r="9" spans="1:15">
      <c r="A9" s="14" t="s">
        <v>90</v>
      </c>
      <c r="B9" s="19" t="s">
        <v>87</v>
      </c>
      <c r="C9">
        <v>120</v>
      </c>
      <c r="E9">
        <f>C9/10</f>
        <v>12</v>
      </c>
      <c r="M9" s="62"/>
    </row>
    <row r="10" spans="1:15">
      <c r="A10" s="14" t="s">
        <v>91</v>
      </c>
      <c r="B10" s="19" t="s">
        <v>87</v>
      </c>
      <c r="C10">
        <v>90</v>
      </c>
      <c r="E10">
        <f>C10/10</f>
        <v>9</v>
      </c>
      <c r="I10" s="64"/>
      <c r="M10" s="62"/>
      <c r="O10" s="64"/>
    </row>
    <row r="11" spans="1:15">
      <c r="A11" s="14" t="s">
        <v>92</v>
      </c>
      <c r="B11" s="19" t="s">
        <v>87</v>
      </c>
      <c r="C11">
        <v>36</v>
      </c>
      <c r="E11">
        <f>C11/10</f>
        <v>3.6</v>
      </c>
      <c r="I11" s="64"/>
      <c r="M11" s="62"/>
    </row>
    <row r="12" spans="1:15">
      <c r="A12" s="14" t="s">
        <v>93</v>
      </c>
      <c r="B12" s="19" t="s">
        <v>87</v>
      </c>
      <c r="C12">
        <v>60</v>
      </c>
      <c r="E12">
        <f>C12/10</f>
        <v>6</v>
      </c>
      <c r="M12" s="62"/>
    </row>
    <row r="13" spans="1:15">
      <c r="A13" s="14"/>
      <c r="B13" s="19"/>
      <c r="M13" s="62"/>
    </row>
    <row r="14" spans="1:15">
      <c r="A14" s="14" t="s">
        <v>94</v>
      </c>
      <c r="B14" s="19" t="s">
        <v>87</v>
      </c>
      <c r="C14">
        <v>30</v>
      </c>
      <c r="D14" s="59"/>
      <c r="E14">
        <f>C14/10</f>
        <v>3</v>
      </c>
      <c r="F14" s="59"/>
      <c r="G14" s="59"/>
      <c r="H14" s="59"/>
      <c r="I14" s="59"/>
      <c r="J14" s="59"/>
      <c r="K14" s="59"/>
      <c r="L14" s="59"/>
    </row>
    <row r="15" spans="1:15">
      <c r="A15" s="14" t="s">
        <v>150</v>
      </c>
      <c r="B15" s="19" t="s">
        <v>87</v>
      </c>
      <c r="C15">
        <v>4</v>
      </c>
      <c r="M15" s="62"/>
    </row>
    <row r="16" spans="1:15">
      <c r="A16" s="12" t="s">
        <v>95</v>
      </c>
      <c r="B16" s="23"/>
      <c r="C16" s="23"/>
      <c r="D16" s="23"/>
      <c r="E16" s="23"/>
      <c r="F16" s="23"/>
      <c r="G16" s="23"/>
      <c r="H16" s="23"/>
      <c r="I16" s="23"/>
      <c r="J16" s="142"/>
      <c r="K16" s="142"/>
      <c r="L16" s="142"/>
      <c r="M16" s="62"/>
    </row>
    <row r="17" spans="1:13">
      <c r="A17" s="31"/>
      <c r="B17" s="32"/>
      <c r="C17" s="36" t="s">
        <v>96</v>
      </c>
      <c r="D17" s="33">
        <v>1</v>
      </c>
      <c r="E17" s="36" t="s">
        <v>15</v>
      </c>
      <c r="F17" s="33">
        <v>2</v>
      </c>
      <c r="G17" s="36" t="s">
        <v>15</v>
      </c>
      <c r="H17" s="36">
        <v>3</v>
      </c>
      <c r="I17" s="36" t="s">
        <v>15</v>
      </c>
      <c r="J17" s="34">
        <v>4</v>
      </c>
      <c r="K17" s="36" t="s">
        <v>96</v>
      </c>
      <c r="L17" s="34">
        <v>5</v>
      </c>
      <c r="M17" s="35" t="s">
        <v>97</v>
      </c>
    </row>
    <row r="18" spans="1:13">
      <c r="A18" s="14"/>
      <c r="B18" s="11"/>
      <c r="C18" s="112" t="s">
        <v>98</v>
      </c>
      <c r="D18" s="123"/>
      <c r="E18" s="125" t="s">
        <v>98</v>
      </c>
      <c r="F18" s="123"/>
      <c r="G18" s="125" t="s">
        <v>98</v>
      </c>
      <c r="H18" s="37"/>
      <c r="I18" s="125" t="s">
        <v>98</v>
      </c>
      <c r="J18" s="123"/>
      <c r="K18" s="125" t="s">
        <v>98</v>
      </c>
      <c r="L18" s="123"/>
      <c r="M18" s="141"/>
    </row>
    <row r="19" spans="1:13">
      <c r="A19" s="15" t="s">
        <v>95</v>
      </c>
      <c r="B19" s="118" t="s">
        <v>99</v>
      </c>
      <c r="C19" s="17"/>
      <c r="D19" s="100"/>
      <c r="E19" s="126"/>
      <c r="F19" s="100"/>
      <c r="G19" s="126"/>
      <c r="H19" s="38"/>
      <c r="I19" s="126"/>
      <c r="J19" s="100"/>
      <c r="K19" s="126"/>
      <c r="L19" s="100"/>
      <c r="M19" s="25"/>
    </row>
    <row r="20" spans="1:13">
      <c r="A20" s="18" t="s">
        <v>151</v>
      </c>
      <c r="B20" s="119"/>
      <c r="C20" s="83" t="b">
        <f>IF(Beitragsrechner!J23&lt;=18,TRUE,FALSE)</f>
        <v>1</v>
      </c>
      <c r="D20" s="85"/>
      <c r="E20" s="127" t="b">
        <f>IF(Beitragsrechner!J32&lt;=18,TRUE,FALSE)</f>
        <v>1</v>
      </c>
      <c r="F20" s="85"/>
      <c r="G20" s="127" t="b">
        <f>IF(Beitragsrechner!J41&lt;=18,TRUE,FALSE)</f>
        <v>1</v>
      </c>
      <c r="H20" s="85"/>
      <c r="I20" s="127" t="b">
        <f>IF(Beitragsrechner!J50&lt;=18,TRUE,FALSE)</f>
        <v>1</v>
      </c>
      <c r="J20" s="85"/>
      <c r="K20" s="127" t="b">
        <f>IF(Beitragsrechner!J59&lt;=18,TRUE,FALSE)</f>
        <v>1</v>
      </c>
      <c r="L20" s="85"/>
      <c r="M20" s="25" t="s">
        <v>101</v>
      </c>
    </row>
    <row r="21" spans="1:13">
      <c r="A21" s="18" t="s">
        <v>102</v>
      </c>
      <c r="B21" s="119"/>
      <c r="C21" s="83" t="b">
        <f>Beitragsrechner!J25="Ja"</f>
        <v>1</v>
      </c>
      <c r="D21" s="85"/>
      <c r="E21" s="127" t="b">
        <f>Beitragsrechner!J34="Ja"</f>
        <v>0</v>
      </c>
      <c r="F21" s="85"/>
      <c r="G21" s="127" t="b">
        <f>Beitragsrechner!J43="Ja"</f>
        <v>0</v>
      </c>
      <c r="H21" s="85"/>
      <c r="I21" s="127" t="b">
        <f>Beitragsrechner!J52="Ja"</f>
        <v>0</v>
      </c>
      <c r="J21" s="85"/>
      <c r="K21" s="127" t="b">
        <f>Beitragsrechner!J61="Ja"</f>
        <v>0</v>
      </c>
      <c r="L21" s="85"/>
      <c r="M21" s="25" t="s">
        <v>103</v>
      </c>
    </row>
    <row r="22" spans="1:13">
      <c r="A22" s="18" t="s">
        <v>104</v>
      </c>
      <c r="B22" s="119"/>
      <c r="C22" s="83" t="b">
        <f>AND(C21,Beitragsrechner!F25="Ja")</f>
        <v>0</v>
      </c>
      <c r="D22" s="85"/>
      <c r="E22" s="127" t="b">
        <f>AND(E21,Beitragsrechner!F34="Ja")</f>
        <v>0</v>
      </c>
      <c r="F22" s="85"/>
      <c r="G22" s="127" t="b">
        <f>AND(G21,Beitragsrechner!F43="Ja")</f>
        <v>0</v>
      </c>
      <c r="H22" s="85"/>
      <c r="I22" s="127" t="b">
        <f>AND(I21,Beitragsrechner!F52="Ja")</f>
        <v>0</v>
      </c>
      <c r="J22" s="85"/>
      <c r="K22" s="127" t="b">
        <f>AND(K21,Beitragsrechner!F61="Ja")</f>
        <v>0</v>
      </c>
      <c r="L22" s="85"/>
      <c r="M22" s="25" t="s">
        <v>105</v>
      </c>
    </row>
    <row r="23" spans="1:13">
      <c r="A23" s="18" t="s">
        <v>152</v>
      </c>
      <c r="B23" s="119" t="s">
        <v>87</v>
      </c>
      <c r="C23" s="83">
        <f>Beitragsrechner!F28</f>
        <v>0</v>
      </c>
      <c r="D23" s="85"/>
      <c r="E23" s="127">
        <f>Beitragsrechner!F37</f>
        <v>0</v>
      </c>
      <c r="F23" s="85"/>
      <c r="G23" s="127">
        <f>Beitragsrechner!F46</f>
        <v>0</v>
      </c>
      <c r="H23" s="85"/>
      <c r="I23" s="127">
        <f>Beitragsrechner!F55</f>
        <v>0</v>
      </c>
      <c r="J23" s="85"/>
      <c r="K23" s="127">
        <f>Beitragsrechner!F64</f>
        <v>0</v>
      </c>
      <c r="L23" s="85"/>
      <c r="M23" s="25"/>
    </row>
    <row r="24" spans="1:13">
      <c r="A24" s="18" t="s">
        <v>107</v>
      </c>
      <c r="B24" s="119" t="s">
        <v>108</v>
      </c>
      <c r="C24" s="87">
        <f>1/50*Beitragsrechner!J28</f>
        <v>0</v>
      </c>
      <c r="D24" s="89"/>
      <c r="E24" s="128">
        <f>1/50*Beitragsrechner!J37</f>
        <v>0</v>
      </c>
      <c r="F24" s="89"/>
      <c r="G24" s="128">
        <f>1/50*Beitragsrechner!J46</f>
        <v>0</v>
      </c>
      <c r="H24" s="89"/>
      <c r="I24" s="128">
        <f>1/50*Beitragsrechner!J55</f>
        <v>0</v>
      </c>
      <c r="J24" s="89"/>
      <c r="K24" s="128">
        <f>1/50*Beitragsrechner!J64</f>
        <v>0</v>
      </c>
      <c r="L24" s="89"/>
      <c r="M24" s="25" t="s">
        <v>153</v>
      </c>
    </row>
    <row r="25" spans="1:13">
      <c r="A25" s="18" t="s">
        <v>110</v>
      </c>
      <c r="B25" s="119" t="s">
        <v>87</v>
      </c>
      <c r="C25" s="83">
        <f>'Berechnung Einkommen'!E27</f>
        <v>0</v>
      </c>
      <c r="D25" s="85"/>
      <c r="E25" s="127">
        <f>'Berechnung Einkommen'!E27</f>
        <v>0</v>
      </c>
      <c r="F25" s="85"/>
      <c r="G25" s="127">
        <f>'Berechnung Einkommen'!E27</f>
        <v>0</v>
      </c>
      <c r="H25" s="85"/>
      <c r="I25" s="127">
        <f>'Berechnung Einkommen'!E27</f>
        <v>0</v>
      </c>
      <c r="J25" s="85"/>
      <c r="K25" s="127">
        <f>'Berechnung Einkommen'!E27</f>
        <v>0</v>
      </c>
      <c r="L25" s="85"/>
      <c r="M25" s="25"/>
    </row>
    <row r="26" spans="1:13">
      <c r="A26" s="18" t="s">
        <v>111</v>
      </c>
      <c r="B26" s="119" t="s">
        <v>112</v>
      </c>
      <c r="C26" s="83" t="e">
        <f>Beitragsrechner!J19-1</f>
        <v>#VALUE!</v>
      </c>
      <c r="D26" s="85"/>
      <c r="E26" s="127" t="e">
        <f>Beitragsrechner!J19-1</f>
        <v>#VALUE!</v>
      </c>
      <c r="F26" s="85"/>
      <c r="G26" s="127" t="e">
        <f>Beitragsrechner!J19-1</f>
        <v>#VALUE!</v>
      </c>
      <c r="H26" s="85"/>
      <c r="I26" s="127" t="e">
        <f>Beitragsrechner!J19-1</f>
        <v>#VALUE!</v>
      </c>
      <c r="J26" s="85"/>
      <c r="K26" s="127" t="e">
        <f>Beitragsrechner!J19-1</f>
        <v>#VALUE!</v>
      </c>
      <c r="L26" s="85"/>
      <c r="M26" s="25" t="s">
        <v>113</v>
      </c>
    </row>
    <row r="27" spans="1:13">
      <c r="A27" s="14"/>
      <c r="B27" s="119"/>
      <c r="C27" s="13"/>
      <c r="D27" s="101"/>
      <c r="E27" s="56"/>
      <c r="F27" s="101"/>
      <c r="G27" s="56"/>
      <c r="H27" s="101"/>
      <c r="I27" s="56"/>
      <c r="J27" s="101"/>
      <c r="K27" s="56"/>
      <c r="L27" s="101"/>
      <c r="M27" s="25"/>
    </row>
    <row r="28" spans="1:13">
      <c r="A28" s="15" t="s">
        <v>114</v>
      </c>
      <c r="B28" s="120"/>
      <c r="C28" s="17"/>
      <c r="D28" s="100"/>
      <c r="E28" s="126"/>
      <c r="F28" s="100"/>
      <c r="G28" s="126"/>
      <c r="H28" s="100"/>
      <c r="I28" s="126"/>
      <c r="J28" s="100"/>
      <c r="K28" s="126"/>
      <c r="L28" s="100"/>
      <c r="M28" s="25"/>
    </row>
    <row r="29" spans="1:13">
      <c r="A29" s="14" t="s">
        <v>154</v>
      </c>
      <c r="B29" s="119" t="s">
        <v>155</v>
      </c>
      <c r="C29" s="13">
        <f>Beitragsrechner!J28</f>
        <v>0</v>
      </c>
      <c r="D29" s="101"/>
      <c r="E29" s="56">
        <f>Beitragsrechner!J37</f>
        <v>0</v>
      </c>
      <c r="F29" s="101"/>
      <c r="G29" s="56">
        <f>Beitragsrechner!J46</f>
        <v>0</v>
      </c>
      <c r="H29" s="101"/>
      <c r="I29" s="56">
        <f>Beitragsrechner!J55</f>
        <v>0</v>
      </c>
      <c r="J29" s="101"/>
      <c r="K29" s="56">
        <f>Beitragsrechner!J64</f>
        <v>0</v>
      </c>
      <c r="L29" s="101"/>
      <c r="M29" s="25"/>
    </row>
    <row r="30" spans="1:13">
      <c r="A30" s="14" t="s">
        <v>156</v>
      </c>
      <c r="B30" s="119" t="s">
        <v>155</v>
      </c>
      <c r="C30" s="13">
        <f>C29*4</f>
        <v>0</v>
      </c>
      <c r="D30" s="101"/>
      <c r="E30" s="56">
        <f>E29*4</f>
        <v>0</v>
      </c>
      <c r="F30" s="101"/>
      <c r="G30" s="56">
        <f>G29*4</f>
        <v>0</v>
      </c>
      <c r="H30" s="101"/>
      <c r="I30" s="56">
        <f>I29*4</f>
        <v>0</v>
      </c>
      <c r="J30" s="101"/>
      <c r="K30" s="56">
        <f>K29*4</f>
        <v>0</v>
      </c>
      <c r="L30" s="101"/>
      <c r="M30" s="25"/>
    </row>
    <row r="31" spans="1:13">
      <c r="A31" s="14" t="s">
        <v>115</v>
      </c>
      <c r="B31" s="119" t="s">
        <v>116</v>
      </c>
      <c r="C31" s="13">
        <f>Beitragsrechner!J29</f>
        <v>0</v>
      </c>
      <c r="D31" s="101"/>
      <c r="E31" s="56">
        <f>Beitragsrechner!J38</f>
        <v>0</v>
      </c>
      <c r="G31" s="56">
        <f>Beitragsrechner!J47</f>
        <v>0</v>
      </c>
      <c r="I31" s="56">
        <f>Beitragsrechner!J56</f>
        <v>0</v>
      </c>
      <c r="K31" s="56">
        <f>Beitragsrechner!J64</f>
        <v>0</v>
      </c>
      <c r="M31" s="25" t="s">
        <v>117</v>
      </c>
    </row>
    <row r="32" spans="1:13">
      <c r="A32" s="14" t="s">
        <v>118</v>
      </c>
      <c r="B32" s="119" t="s">
        <v>116</v>
      </c>
      <c r="C32" s="13">
        <f>4*C31</f>
        <v>0</v>
      </c>
      <c r="D32" s="101"/>
      <c r="E32" s="56">
        <f>4*E31</f>
        <v>0</v>
      </c>
      <c r="G32" s="56">
        <f>4*G31</f>
        <v>0</v>
      </c>
      <c r="I32" s="56">
        <f>4*I31</f>
        <v>0</v>
      </c>
      <c r="K32" s="56">
        <f>4*K31</f>
        <v>0</v>
      </c>
      <c r="M32" s="25" t="s">
        <v>119</v>
      </c>
    </row>
    <row r="33" spans="1:13">
      <c r="A33" s="14"/>
      <c r="B33" s="119"/>
      <c r="C33" s="13"/>
      <c r="D33" s="101"/>
      <c r="E33" s="56"/>
      <c r="F33" s="101"/>
      <c r="G33" s="56"/>
      <c r="H33" s="101"/>
      <c r="I33" s="56"/>
      <c r="J33" s="101"/>
      <c r="K33" s="56"/>
      <c r="L33" s="101"/>
      <c r="M33" s="25"/>
    </row>
    <row r="34" spans="1:13">
      <c r="A34" s="15" t="s">
        <v>120</v>
      </c>
      <c r="B34" s="120"/>
      <c r="C34" s="17"/>
      <c r="D34" s="100"/>
      <c r="E34" s="126"/>
      <c r="F34" s="100"/>
      <c r="G34" s="126"/>
      <c r="H34" s="100"/>
      <c r="I34" s="126"/>
      <c r="J34" s="100"/>
      <c r="K34" s="126"/>
      <c r="L34" s="100"/>
      <c r="M34" s="25"/>
    </row>
    <row r="35" spans="1:13">
      <c r="A35" s="14" t="s">
        <v>121</v>
      </c>
      <c r="B35" s="119" t="s">
        <v>108</v>
      </c>
      <c r="C35" s="70" t="e">
        <f>C26*10%</f>
        <v>#VALUE!</v>
      </c>
      <c r="D35" s="124"/>
      <c r="E35" s="129" t="e">
        <f>E26*10%</f>
        <v>#VALUE!</v>
      </c>
      <c r="F35" s="44"/>
      <c r="G35" s="129" t="e">
        <f>G26*10%</f>
        <v>#VALUE!</v>
      </c>
      <c r="H35" s="44"/>
      <c r="I35" s="129" t="e">
        <f>I26*10%</f>
        <v>#VALUE!</v>
      </c>
      <c r="J35" s="124"/>
      <c r="K35" s="129" t="e">
        <f>K26*10%</f>
        <v>#VALUE!</v>
      </c>
      <c r="L35" s="44"/>
      <c r="M35" s="25"/>
    </row>
    <row r="36" spans="1:13">
      <c r="A36" s="14"/>
      <c r="B36" s="119"/>
      <c r="C36" s="13"/>
      <c r="D36" s="101"/>
      <c r="E36" s="56"/>
      <c r="F36" s="101"/>
      <c r="G36" s="56"/>
      <c r="H36" s="101"/>
      <c r="I36" s="56"/>
      <c r="J36" s="101"/>
      <c r="K36" s="56"/>
      <c r="L36" s="101"/>
      <c r="M36" s="25"/>
    </row>
    <row r="37" spans="1:13">
      <c r="A37" s="15" t="s">
        <v>122</v>
      </c>
      <c r="B37" s="120"/>
      <c r="C37" s="17"/>
      <c r="D37" s="100"/>
      <c r="E37" s="126"/>
      <c r="F37" s="100"/>
      <c r="G37" s="126"/>
      <c r="H37" s="100"/>
      <c r="I37" s="126"/>
      <c r="J37" s="100"/>
      <c r="K37" s="126"/>
      <c r="L37" s="38"/>
      <c r="M37" s="25"/>
    </row>
    <row r="38" spans="1:13">
      <c r="A38" s="14" t="s">
        <v>157</v>
      </c>
      <c r="B38" s="119" t="s">
        <v>87</v>
      </c>
      <c r="C38" s="13">
        <f>IF(C20,$C$9,IF(C21,IF(C22,$C$11,$C$12),$C$10))</f>
        <v>120</v>
      </c>
      <c r="D38" s="101"/>
      <c r="E38" s="56">
        <f>IF(E20,$C$9,IF(E21,IF(E22,$C$11,$C$12),$C$10))</f>
        <v>120</v>
      </c>
      <c r="F38" s="101"/>
      <c r="G38" s="56">
        <f>IF(G20,$C$9,IF(G21,IF(G22,$C$11,$C$12),$C$10))</f>
        <v>120</v>
      </c>
      <c r="H38" s="101"/>
      <c r="I38" s="56">
        <f>IF(I20,$C$9,IF(I21,IF(I22,$C$11,$C$12),$C$10))</f>
        <v>120</v>
      </c>
      <c r="J38" s="101"/>
      <c r="K38" s="56">
        <f>IF(K20,$C$9,IF(K21,IF(K22,$C$11,$C$12),$C$10))</f>
        <v>120</v>
      </c>
      <c r="L38" s="101"/>
      <c r="M38" s="25" t="s">
        <v>124</v>
      </c>
    </row>
    <row r="39" spans="1:13">
      <c r="A39" s="14" t="s">
        <v>158</v>
      </c>
      <c r="B39" s="119" t="s">
        <v>87</v>
      </c>
      <c r="C39" s="13">
        <f>C38/10</f>
        <v>12</v>
      </c>
      <c r="D39" s="101"/>
      <c r="E39" s="56">
        <f>E38/10</f>
        <v>12</v>
      </c>
      <c r="F39" s="101"/>
      <c r="G39" s="56">
        <f>G38/10</f>
        <v>12</v>
      </c>
      <c r="H39" s="101"/>
      <c r="I39" s="56">
        <f>I38/10</f>
        <v>12</v>
      </c>
      <c r="J39" s="101"/>
      <c r="K39" s="56">
        <f>K38/10</f>
        <v>12</v>
      </c>
      <c r="L39" s="101"/>
      <c r="M39" s="25" t="s">
        <v>159</v>
      </c>
    </row>
    <row r="40" spans="1:13">
      <c r="A40" s="14" t="s">
        <v>36</v>
      </c>
      <c r="B40" s="119" t="s">
        <v>87</v>
      </c>
      <c r="C40" s="110">
        <f>C23</f>
        <v>0</v>
      </c>
      <c r="D40" s="101"/>
      <c r="E40" s="56">
        <f>E23</f>
        <v>0</v>
      </c>
      <c r="F40" s="101"/>
      <c r="G40" s="56">
        <f>G23</f>
        <v>0</v>
      </c>
      <c r="H40" s="101"/>
      <c r="I40" s="56">
        <f>I23</f>
        <v>0</v>
      </c>
      <c r="J40" s="101"/>
      <c r="K40" s="56">
        <f>K23</f>
        <v>0</v>
      </c>
      <c r="L40" s="101"/>
      <c r="M40" s="25"/>
    </row>
    <row r="41" spans="1:13">
      <c r="A41" s="14" t="s">
        <v>160</v>
      </c>
      <c r="B41" s="119" t="s">
        <v>87</v>
      </c>
      <c r="C41" s="71" t="e">
        <f>C32/C30*4</f>
        <v>#DIV/0!</v>
      </c>
      <c r="D41" s="101"/>
      <c r="E41" s="143" t="e">
        <f>E32/E30*4</f>
        <v>#DIV/0!</v>
      </c>
      <c r="F41" s="102"/>
      <c r="G41" s="143" t="e">
        <f>G32/G30*4</f>
        <v>#DIV/0!</v>
      </c>
      <c r="H41" s="102"/>
      <c r="I41" s="143" t="e">
        <f>I32/I30*4</f>
        <v>#DIV/0!</v>
      </c>
      <c r="J41" s="102"/>
      <c r="K41" s="143" t="e">
        <f>K32/K30*4</f>
        <v>#DIV/0!</v>
      </c>
      <c r="L41" s="101"/>
      <c r="M41" s="25" t="s">
        <v>161</v>
      </c>
    </row>
    <row r="42" spans="1:13">
      <c r="A42" s="14" t="s">
        <v>162</v>
      </c>
      <c r="B42" s="119" t="s">
        <v>87</v>
      </c>
      <c r="C42" s="71" t="e">
        <f>C40+C41</f>
        <v>#DIV/0!</v>
      </c>
      <c r="D42" s="101"/>
      <c r="E42" s="143" t="e">
        <f>E40+E41</f>
        <v>#DIV/0!</v>
      </c>
      <c r="F42" s="102"/>
      <c r="G42" s="143" t="e">
        <f>G40+G41</f>
        <v>#DIV/0!</v>
      </c>
      <c r="H42" s="102"/>
      <c r="I42" s="143" t="e">
        <f>I40+I41</f>
        <v>#DIV/0!</v>
      </c>
      <c r="J42" s="102"/>
      <c r="K42" s="143" t="e">
        <f>K40+K41</f>
        <v>#DIV/0!</v>
      </c>
      <c r="L42" s="101"/>
      <c r="M42" s="25"/>
    </row>
    <row r="43" spans="1:13">
      <c r="A43" s="14" t="s">
        <v>163</v>
      </c>
      <c r="B43" s="119" t="s">
        <v>87</v>
      </c>
      <c r="C43" s="71" t="e">
        <f>C39+C41</f>
        <v>#DIV/0!</v>
      </c>
      <c r="D43" s="101"/>
      <c r="E43" s="143" t="e">
        <f>E39+E41</f>
        <v>#DIV/0!</v>
      </c>
      <c r="F43" s="102"/>
      <c r="G43" s="143" t="e">
        <f>G39+G41</f>
        <v>#DIV/0!</v>
      </c>
      <c r="H43" s="102"/>
      <c r="I43" s="143" t="e">
        <f>I39+I41</f>
        <v>#DIV/0!</v>
      </c>
      <c r="J43" s="102"/>
      <c r="K43" s="143" t="e">
        <f>K39+K41</f>
        <v>#DIV/0!</v>
      </c>
      <c r="L43" s="101"/>
      <c r="M43" s="25"/>
    </row>
    <row r="44" spans="1:13">
      <c r="A44" s="14" t="s">
        <v>164</v>
      </c>
      <c r="B44" s="119" t="s">
        <v>87</v>
      </c>
      <c r="C44" s="71" t="e">
        <f>C42-C43</f>
        <v>#DIV/0!</v>
      </c>
      <c r="D44" s="101"/>
      <c r="E44" s="143" t="e">
        <f>E42-E43</f>
        <v>#DIV/0!</v>
      </c>
      <c r="F44" s="102"/>
      <c r="G44" s="143" t="e">
        <f>G42-G43</f>
        <v>#DIV/0!</v>
      </c>
      <c r="H44" s="102"/>
      <c r="I44" s="143" t="e">
        <f>I42-I43</f>
        <v>#DIV/0!</v>
      </c>
      <c r="J44" s="102"/>
      <c r="K44" s="143" t="e">
        <f>K42-K43</f>
        <v>#DIV/0!</v>
      </c>
      <c r="L44" s="101"/>
      <c r="M44" s="25"/>
    </row>
    <row r="45" spans="1:13">
      <c r="A45" s="14"/>
      <c r="B45" s="119"/>
      <c r="C45" s="13"/>
      <c r="D45" s="101"/>
      <c r="E45" s="56"/>
      <c r="F45" s="101"/>
      <c r="G45" s="56"/>
      <c r="H45" s="101"/>
      <c r="I45" s="56"/>
      <c r="J45" s="101"/>
      <c r="K45" s="56"/>
      <c r="L45" s="101"/>
      <c r="M45" s="25"/>
    </row>
    <row r="46" spans="1:13">
      <c r="A46" s="15" t="s">
        <v>127</v>
      </c>
      <c r="B46" s="120"/>
      <c r="C46" s="17"/>
      <c r="D46" s="100"/>
      <c r="E46" s="126"/>
      <c r="F46" s="100"/>
      <c r="G46" s="126"/>
      <c r="H46" s="100"/>
      <c r="I46" s="126"/>
      <c r="J46" s="100"/>
      <c r="K46" s="126"/>
      <c r="L46" s="100"/>
      <c r="M46" s="25"/>
    </row>
    <row r="47" spans="1:13">
      <c r="A47" s="14" t="s">
        <v>128</v>
      </c>
      <c r="B47" s="119" t="s">
        <v>108</v>
      </c>
      <c r="C47" s="113" t="e">
        <f>$E$14/(C39+C41)*(1-C35)</f>
        <v>#DIV/0!</v>
      </c>
      <c r="D47" s="105"/>
      <c r="E47" s="130" t="e">
        <f>$E$14/(E39+E41)*(1-E35)</f>
        <v>#DIV/0!</v>
      </c>
      <c r="F47" s="105"/>
      <c r="G47" s="130" t="e">
        <f>$E$14/(G39+G41)*(1-G35)</f>
        <v>#DIV/0!</v>
      </c>
      <c r="H47" s="105"/>
      <c r="I47" s="130" t="e">
        <f>$E$14/(I39+I41)*(1-I35)</f>
        <v>#DIV/0!</v>
      </c>
      <c r="J47" s="105"/>
      <c r="K47" s="130" t="e">
        <f>$E$14/(K39+K41)*(1-K35)</f>
        <v>#DIV/0!</v>
      </c>
      <c r="L47" s="45"/>
      <c r="M47" s="26" t="s">
        <v>129</v>
      </c>
    </row>
    <row r="48" spans="1:13">
      <c r="A48" s="14" t="s">
        <v>130</v>
      </c>
      <c r="B48" s="119" t="s">
        <v>108</v>
      </c>
      <c r="C48" s="114" t="e">
        <f>(1-C47)/($C$6-$C$5)</f>
        <v>#DIV/0!</v>
      </c>
      <c r="D48" s="106"/>
      <c r="E48" s="131" t="e">
        <f>(1-E47)/($C$6-$C$5)</f>
        <v>#DIV/0!</v>
      </c>
      <c r="F48" s="106"/>
      <c r="G48" s="131" t="e">
        <f>(1-G47)/($C$6-$C$5)</f>
        <v>#DIV/0!</v>
      </c>
      <c r="H48" s="106"/>
      <c r="I48" s="131" t="e">
        <f>(1-I47)/($C$6-$C$5)</f>
        <v>#DIV/0!</v>
      </c>
      <c r="J48" s="106"/>
      <c r="K48" s="131" t="e">
        <f>(1-K47)/($C$6-$C$5)</f>
        <v>#DIV/0!</v>
      </c>
      <c r="L48" s="4"/>
      <c r="M48" s="27" t="s">
        <v>131</v>
      </c>
    </row>
    <row r="49" spans="1:13">
      <c r="A49" s="14"/>
      <c r="B49" s="119"/>
      <c r="C49" s="114"/>
      <c r="D49" s="4"/>
      <c r="E49" s="132"/>
      <c r="F49" s="4"/>
      <c r="G49" s="132"/>
      <c r="H49" s="4"/>
      <c r="I49" s="132"/>
      <c r="J49" s="4"/>
      <c r="K49" s="132"/>
      <c r="L49" s="4"/>
      <c r="M49" s="29"/>
    </row>
    <row r="50" spans="1:13">
      <c r="A50" s="15" t="s">
        <v>132</v>
      </c>
      <c r="B50" s="120"/>
      <c r="C50" s="17"/>
      <c r="D50" s="100"/>
      <c r="E50" s="126"/>
      <c r="F50" s="100"/>
      <c r="G50" s="126"/>
      <c r="H50" s="100"/>
      <c r="I50" s="126"/>
      <c r="J50" s="100"/>
      <c r="K50" s="126"/>
      <c r="L50" s="100"/>
      <c r="M50" s="25"/>
    </row>
    <row r="51" spans="1:13">
      <c r="A51" s="14" t="s">
        <v>133</v>
      </c>
      <c r="B51" s="119" t="s">
        <v>108</v>
      </c>
      <c r="C51" s="115" t="e">
        <f>IF(MIN(C47+C48*(C25-$C$5),1)&lt;0,0,MIN(C47+C48*(C25-$C$5),1))</f>
        <v>#DIV/0!</v>
      </c>
      <c r="D51" s="107"/>
      <c r="E51" s="133" t="e">
        <f>IF(MIN(E47+E48*(E25-$C$5),1)&lt;0,0,MIN(E47+E48*(E25-$C$5),1))</f>
        <v>#DIV/0!</v>
      </c>
      <c r="F51" s="107"/>
      <c r="G51" s="133" t="e">
        <f>IF(MIN(G47+G48*(G25-$C$5),1)&lt;0,0,MIN(G47+G48*(G25-$C$5),1))</f>
        <v>#DIV/0!</v>
      </c>
      <c r="H51" s="107"/>
      <c r="I51" s="133" t="e">
        <f>IF(MIN(I47+I48*(I25-$C$5),1)&lt;0,0,MIN(I47+I48*(I25-$C$5),1))</f>
        <v>#DIV/0!</v>
      </c>
      <c r="J51" s="107"/>
      <c r="K51" s="133" t="e">
        <f>IF(MIN(K47+K48*(K25-$C$5),1)&lt;0,0,MIN(K47+K48*(K25-$C$5),1))</f>
        <v>#DIV/0!</v>
      </c>
      <c r="L51" s="45"/>
      <c r="M51" s="30" t="s">
        <v>134</v>
      </c>
    </row>
    <row r="52" spans="1:13">
      <c r="A52" s="14" t="s">
        <v>165</v>
      </c>
      <c r="B52" s="119" t="s">
        <v>87</v>
      </c>
      <c r="C52" s="116" t="e">
        <f>MIN(C42:C43)*C51</f>
        <v>#DIV/0!</v>
      </c>
      <c r="D52" s="93"/>
      <c r="E52" s="134" t="e">
        <f>MIN(E42:E43)*E51</f>
        <v>#DIV/0!</v>
      </c>
      <c r="F52" s="93"/>
      <c r="G52" s="134" t="e">
        <f>MIN(G42:G43)*G51</f>
        <v>#DIV/0!</v>
      </c>
      <c r="H52" s="93"/>
      <c r="I52" s="134" t="e">
        <f>MIN(I42:I43)*I51</f>
        <v>#DIV/0!</v>
      </c>
      <c r="J52" s="93"/>
      <c r="K52" s="134" t="e">
        <f>MIN(K42:K43)*K51</f>
        <v>#DIV/0!</v>
      </c>
      <c r="L52" s="22"/>
      <c r="M52" s="29" t="s">
        <v>136</v>
      </c>
    </row>
    <row r="53" spans="1:13">
      <c r="A53" s="14"/>
      <c r="B53" s="119"/>
      <c r="C53" s="114"/>
      <c r="D53" s="4"/>
      <c r="E53" s="132"/>
      <c r="F53" s="4"/>
      <c r="G53" s="132"/>
      <c r="H53" s="4"/>
      <c r="I53" s="132"/>
      <c r="K53" s="56"/>
      <c r="M53" s="27"/>
    </row>
    <row r="54" spans="1:13">
      <c r="A54" s="15" t="s">
        <v>137</v>
      </c>
      <c r="B54" s="120"/>
      <c r="C54" s="17"/>
      <c r="D54" s="100"/>
      <c r="E54" s="126"/>
      <c r="F54" s="100"/>
      <c r="G54" s="126"/>
      <c r="H54" s="100"/>
      <c r="I54" s="126"/>
      <c r="J54" s="38"/>
      <c r="K54" s="126"/>
      <c r="L54" s="38"/>
      <c r="M54" s="25"/>
    </row>
    <row r="55" spans="1:13">
      <c r="A55" s="104" t="s">
        <v>166</v>
      </c>
      <c r="B55" s="119" t="s">
        <v>87</v>
      </c>
      <c r="C55" s="74">
        <f>IF(Beitragsrechner!F23="Tagesfamilie",MIN(C42:C43)*(1-C51),0)</f>
        <v>0</v>
      </c>
      <c r="D55" s="108"/>
      <c r="E55" s="135">
        <f>IF(Beitragsrechner!F32="Tagesfamilie",MIN(E42:E43)*(1-E51),0)</f>
        <v>0</v>
      </c>
      <c r="F55" s="108"/>
      <c r="G55" s="135">
        <f>IF(Beitragsrechner!F41="Tagesfamilie",MIN(G42:G43)*(1-G51),0)</f>
        <v>0</v>
      </c>
      <c r="H55" s="108"/>
      <c r="I55" s="135">
        <f>IF(Beitragsrechner!F50="Tagesfamilie",MIN(I42:I43)*(1-I51),0)</f>
        <v>0</v>
      </c>
      <c r="J55" s="108"/>
      <c r="K55" s="135">
        <f>IF(Beitragsrechner!F50="Tagesfamilie",MIN(K42:K43)*(1-K51),0)</f>
        <v>0</v>
      </c>
      <c r="L55" s="46"/>
      <c r="M55" s="28"/>
    </row>
    <row r="56" spans="1:13">
      <c r="A56" t="s">
        <v>167</v>
      </c>
      <c r="B56" s="119" t="s">
        <v>87</v>
      </c>
      <c r="C56" s="116" t="e">
        <f>IF(C35&gt;0,MAX($E$14*(C35-1)*-1-C52,0),MAX($E$14-C52,0))</f>
        <v>#VALUE!</v>
      </c>
      <c r="D56" s="93"/>
      <c r="E56" s="116" t="e">
        <f>IF(E35&gt;0,MAX($E$14*(E35-1)*-1-E52,0),MAX($E$14-E52,0))</f>
        <v>#VALUE!</v>
      </c>
      <c r="F56" s="93"/>
      <c r="G56" s="116" t="e">
        <f>IF(G35&gt;0,MAX($E$14*(G35-1)*-1-G52,0),MAX($E$14-G52,0))</f>
        <v>#VALUE!</v>
      </c>
      <c r="H56" s="93"/>
      <c r="I56" s="116" t="e">
        <f>IF(I35&gt;0,MAX($E$14*(I35-1)*-1-I52,0),MAX($E$14-I52,0))</f>
        <v>#VALUE!</v>
      </c>
      <c r="J56" s="93"/>
      <c r="K56" s="116" t="e">
        <f>IF(K35&gt;0,MAX($E$14*(K35-1)*-1-K52,0),MAX($E$14-K52,0))</f>
        <v>#VALUE!</v>
      </c>
      <c r="L56" s="92"/>
      <c r="M56" s="56"/>
    </row>
    <row r="57" spans="1:13">
      <c r="A57" s="54" t="s">
        <v>168</v>
      </c>
      <c r="B57" s="121" t="s">
        <v>87</v>
      </c>
      <c r="C57" s="117" t="e">
        <f>MAX(C55-C56,0)</f>
        <v>#VALUE!</v>
      </c>
      <c r="D57" s="109"/>
      <c r="E57" s="136" t="e">
        <f>MAX(E55-E56,0)</f>
        <v>#VALUE!</v>
      </c>
      <c r="F57" s="109"/>
      <c r="G57" s="136" t="e">
        <f>MAX(G55-G56,0)</f>
        <v>#VALUE!</v>
      </c>
      <c r="H57" s="109"/>
      <c r="I57" s="136" t="e">
        <f>MAX(I55-I56,0)</f>
        <v>#VALUE!</v>
      </c>
      <c r="J57" s="109"/>
      <c r="K57" s="136" t="e">
        <f>MAX(K55-K56,0)</f>
        <v>#VALUE!</v>
      </c>
      <c r="L57" s="46"/>
      <c r="M57" s="56" t="s">
        <v>143</v>
      </c>
    </row>
    <row r="58" spans="1:13">
      <c r="A58" t="s">
        <v>169</v>
      </c>
      <c r="B58" s="119" t="s">
        <v>87</v>
      </c>
      <c r="C58" s="116">
        <f>IF(C31&gt;0,C57*C29/C31,0)</f>
        <v>0</v>
      </c>
      <c r="D58" s="93"/>
      <c r="E58" s="134">
        <f>IF(E31&gt;0,E57*E29/E31,0)</f>
        <v>0</v>
      </c>
      <c r="F58" s="93"/>
      <c r="G58" s="134">
        <f>IF(G31&gt;0,G57*G29/G31,0)</f>
        <v>0</v>
      </c>
      <c r="H58" s="93"/>
      <c r="I58" s="134">
        <f>IF(I31&gt;0,I57*I29/I31,0)</f>
        <v>0</v>
      </c>
      <c r="J58" s="93"/>
      <c r="K58" s="134">
        <f>IF(K31&gt;0,K57*K29/K31,0)</f>
        <v>0</v>
      </c>
      <c r="L58" s="102"/>
      <c r="M58" s="56" t="s">
        <v>170</v>
      </c>
    </row>
    <row r="59" spans="1:13">
      <c r="A59" t="s">
        <v>144</v>
      </c>
      <c r="B59" s="119" t="s">
        <v>87</v>
      </c>
      <c r="C59" s="116">
        <f>C58*C32</f>
        <v>0</v>
      </c>
      <c r="D59" s="93"/>
      <c r="E59" s="134">
        <f>E58*E32</f>
        <v>0</v>
      </c>
      <c r="F59" s="93"/>
      <c r="G59" s="134">
        <f>G58*G32</f>
        <v>0</v>
      </c>
      <c r="H59" s="93"/>
      <c r="I59" s="134">
        <f>I58*I32</f>
        <v>0</v>
      </c>
      <c r="J59" s="93"/>
      <c r="K59" s="134">
        <f>K58*K32</f>
        <v>0</v>
      </c>
      <c r="L59" s="135"/>
      <c r="M59" s="29" t="s">
        <v>145</v>
      </c>
    </row>
    <row r="60" spans="1:13">
      <c r="A60" t="s">
        <v>171</v>
      </c>
      <c r="B60" s="122" t="s">
        <v>87</v>
      </c>
      <c r="C60" s="111">
        <f>IF(Beitragsrechner!F23="Tagesfamilie",C42*C30-C59,0)</f>
        <v>0</v>
      </c>
      <c r="D60" s="138"/>
      <c r="E60" s="137">
        <f>IF(Beitragsrechner!F32="Tagesfamilie",E42*E30-E59,0)</f>
        <v>0</v>
      </c>
      <c r="F60" s="139"/>
      <c r="G60" s="137">
        <f>IF(Beitragsrechner!F41="Tagesfamilie",G42*G30-G59,0)</f>
        <v>0</v>
      </c>
      <c r="H60" s="139"/>
      <c r="I60" s="137">
        <f>IF(Beitragsrechner!F50="Tagesfamilie",I42*I30-I59,0)</f>
        <v>0</v>
      </c>
      <c r="J60" s="139"/>
      <c r="K60" s="137">
        <f>IF(Beitragsrechner!F50="Tagesfamilie",K42*K30-K59,0)</f>
        <v>0</v>
      </c>
      <c r="L60" s="140"/>
      <c r="M60" s="57" t="s">
        <v>172</v>
      </c>
    </row>
    <row r="61" spans="1:13">
      <c r="A61" s="10"/>
      <c r="B61" s="52"/>
      <c r="C61" s="65"/>
      <c r="D61" s="19"/>
      <c r="E61" s="103"/>
      <c r="F61" s="103"/>
      <c r="G61" s="103"/>
      <c r="H61" s="103"/>
      <c r="I61" s="103"/>
      <c r="J61" s="45"/>
      <c r="K61" s="45"/>
      <c r="L61" s="45"/>
      <c r="M61"/>
    </row>
    <row r="62" spans="1:13">
      <c r="B62" s="19"/>
      <c r="C62" s="95"/>
      <c r="D62" s="19"/>
      <c r="E62" s="43"/>
      <c r="F62" s="43"/>
      <c r="G62" s="43"/>
      <c r="H62" s="43"/>
      <c r="I62" s="43"/>
      <c r="J62" s="45"/>
      <c r="K62" s="45"/>
      <c r="L62" s="45"/>
      <c r="M62"/>
    </row>
    <row r="63" spans="1:13">
      <c r="C63" s="96"/>
      <c r="I63" s="43"/>
    </row>
    <row r="64" spans="1:13">
      <c r="C64" s="96"/>
    </row>
    <row r="65" spans="3:3">
      <c r="C65" s="96"/>
    </row>
    <row r="66" spans="3:3">
      <c r="C66" s="96"/>
    </row>
  </sheetData>
  <pageMargins left="0.7" right="0.7" top="0.78740157499999996" bottom="0.78740157499999996" header="0.3" footer="0.3"/>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tabColor rgb="FF92D050"/>
    <pageSetUpPr fitToPage="1"/>
  </sheetPr>
  <dimension ref="A1:M51"/>
  <sheetViews>
    <sheetView zoomScale="93" zoomScaleNormal="93" workbookViewId="0">
      <selection activeCell="M35" sqref="M35"/>
    </sheetView>
  </sheetViews>
  <sheetFormatPr defaultColWidth="11.42578125" defaultRowHeight="12.75"/>
  <cols>
    <col min="1" max="1" width="60.5703125" customWidth="1"/>
    <col min="2" max="2" width="7.5703125" customWidth="1"/>
    <col min="3" max="3" width="19.42578125" bestFit="1" customWidth="1"/>
    <col min="4" max="4" width="2.5703125" customWidth="1"/>
    <col min="5" max="5" width="20.42578125" bestFit="1" customWidth="1"/>
    <col min="6" max="6" width="2.5703125" customWidth="1"/>
    <col min="7" max="7" width="18" customWidth="1"/>
    <col min="8" max="8" width="2.42578125" customWidth="1"/>
    <col min="9" max="9" width="20.28515625" customWidth="1"/>
    <col min="10" max="10" width="2.42578125" customWidth="1"/>
    <col min="11" max="11" width="20.28515625" customWidth="1"/>
    <col min="12" max="12" width="2.42578125" customWidth="1"/>
    <col min="13" max="13" width="76.28515625" style="5" customWidth="1"/>
  </cols>
  <sheetData>
    <row r="1" spans="1:13" ht="18">
      <c r="A1" s="8" t="s">
        <v>173</v>
      </c>
      <c r="B1" s="9"/>
      <c r="C1" s="9"/>
      <c r="D1" s="9"/>
      <c r="E1" s="10"/>
      <c r="F1" s="10"/>
      <c r="G1" s="10"/>
      <c r="H1" s="10"/>
      <c r="I1" s="10"/>
      <c r="M1" s="63"/>
    </row>
    <row r="2" spans="1:13">
      <c r="M2" s="62"/>
    </row>
    <row r="3" spans="1:13">
      <c r="A3" s="12" t="s">
        <v>84</v>
      </c>
      <c r="B3" s="23"/>
      <c r="C3" s="23"/>
      <c r="D3" s="23"/>
      <c r="E3" s="66" t="s">
        <v>85</v>
      </c>
      <c r="F3" s="60"/>
      <c r="G3" s="60"/>
      <c r="H3" s="60"/>
      <c r="I3" s="60"/>
      <c r="J3" s="60"/>
      <c r="K3" s="60"/>
      <c r="L3" s="60"/>
      <c r="M3" s="62"/>
    </row>
    <row r="4" spans="1:13">
      <c r="A4" s="16" t="s">
        <v>82</v>
      </c>
      <c r="B4" s="20"/>
      <c r="C4" s="38"/>
      <c r="D4" s="38"/>
      <c r="E4" s="61"/>
      <c r="F4" s="61"/>
      <c r="G4" s="61"/>
      <c r="H4" s="61"/>
      <c r="I4" s="61"/>
      <c r="J4" s="61"/>
      <c r="K4" s="61"/>
      <c r="L4" s="61"/>
      <c r="M4" s="62"/>
    </row>
    <row r="5" spans="1:13">
      <c r="A5" s="21" t="s">
        <v>86</v>
      </c>
      <c r="B5" s="19" t="s">
        <v>87</v>
      </c>
      <c r="C5" s="43">
        <v>47193</v>
      </c>
      <c r="M5" s="62"/>
    </row>
    <row r="6" spans="1:13">
      <c r="A6" s="14" t="s">
        <v>88</v>
      </c>
      <c r="B6" s="19" t="s">
        <v>87</v>
      </c>
      <c r="C6" s="43">
        <v>153215</v>
      </c>
      <c r="M6" s="62"/>
    </row>
    <row r="7" spans="1:13">
      <c r="A7" s="14"/>
      <c r="M7" s="62"/>
    </row>
    <row r="8" spans="1:13">
      <c r="A8" s="16" t="s">
        <v>174</v>
      </c>
      <c r="B8" s="20"/>
      <c r="C8" s="38"/>
      <c r="D8" s="38"/>
      <c r="M8" s="62"/>
    </row>
    <row r="9" spans="1:13">
      <c r="A9" s="14" t="s">
        <v>175</v>
      </c>
      <c r="B9" s="19" t="s">
        <v>87</v>
      </c>
      <c r="C9">
        <v>17</v>
      </c>
      <c r="I9" s="64"/>
      <c r="M9" s="62"/>
    </row>
    <row r="10" spans="1:13">
      <c r="A10" s="14"/>
      <c r="B10" s="19"/>
      <c r="M10" s="62"/>
    </row>
    <row r="11" spans="1:13">
      <c r="A11" s="14" t="s">
        <v>94</v>
      </c>
      <c r="B11" s="19" t="s">
        <v>87</v>
      </c>
      <c r="C11">
        <f>30/4</f>
        <v>7.5</v>
      </c>
      <c r="D11" s="59"/>
      <c r="E11" s="59"/>
      <c r="F11" s="59"/>
      <c r="G11" s="59"/>
      <c r="H11" s="59"/>
      <c r="I11" s="59"/>
      <c r="J11" s="59"/>
      <c r="K11" s="59"/>
      <c r="L11" s="59"/>
      <c r="M11" s="62"/>
    </row>
    <row r="12" spans="1:13">
      <c r="A12" s="14"/>
      <c r="B12" s="19"/>
      <c r="M12" s="62"/>
    </row>
    <row r="13" spans="1:13" ht="8.4499999999999993" customHeight="1">
      <c r="A13" s="14"/>
      <c r="M13" s="62"/>
    </row>
    <row r="14" spans="1:13">
      <c r="A14" s="12" t="s">
        <v>95</v>
      </c>
      <c r="B14" s="23"/>
      <c r="C14" s="23"/>
      <c r="D14" s="23"/>
      <c r="E14" s="23"/>
      <c r="F14" s="23"/>
      <c r="G14" s="23"/>
      <c r="H14" s="23"/>
      <c r="I14" s="23"/>
      <c r="J14" s="24"/>
      <c r="K14" s="24"/>
      <c r="L14" s="24"/>
      <c r="M14" s="25"/>
    </row>
    <row r="15" spans="1:13">
      <c r="A15" s="31"/>
      <c r="B15" s="32"/>
      <c r="C15" s="36" t="s">
        <v>96</v>
      </c>
      <c r="D15" s="33">
        <v>1</v>
      </c>
      <c r="E15" s="36" t="s">
        <v>15</v>
      </c>
      <c r="F15" s="33">
        <v>2</v>
      </c>
      <c r="G15" s="36" t="s">
        <v>15</v>
      </c>
      <c r="H15" s="36">
        <v>3</v>
      </c>
      <c r="I15" s="36" t="s">
        <v>15</v>
      </c>
      <c r="J15" s="34">
        <v>4</v>
      </c>
      <c r="K15" s="34" t="s">
        <v>15</v>
      </c>
      <c r="L15" s="34">
        <v>5</v>
      </c>
      <c r="M15" s="35" t="s">
        <v>97</v>
      </c>
    </row>
    <row r="16" spans="1:13" ht="18" customHeight="1">
      <c r="A16" s="14"/>
      <c r="C16" s="6" t="s">
        <v>98</v>
      </c>
      <c r="D16" s="7"/>
      <c r="E16" s="6" t="s">
        <v>98</v>
      </c>
      <c r="F16" s="7" t="s">
        <v>176</v>
      </c>
      <c r="G16" s="6" t="s">
        <v>98</v>
      </c>
      <c r="H16" s="37" t="s">
        <v>176</v>
      </c>
      <c r="I16" s="6" t="s">
        <v>98</v>
      </c>
      <c r="J16" s="39"/>
      <c r="K16" s="6" t="s">
        <v>98</v>
      </c>
      <c r="L16" s="39"/>
      <c r="M16" s="41"/>
    </row>
    <row r="17" spans="1:13">
      <c r="A17" s="15" t="s">
        <v>95</v>
      </c>
      <c r="B17" s="16" t="s">
        <v>99</v>
      </c>
      <c r="C17" s="2"/>
      <c r="D17" s="3"/>
      <c r="E17" s="2"/>
      <c r="F17" s="3"/>
      <c r="G17" s="38"/>
      <c r="H17" s="38"/>
      <c r="I17" s="2"/>
      <c r="J17" s="17"/>
      <c r="K17" s="17"/>
      <c r="L17" s="17"/>
      <c r="M17" s="25"/>
    </row>
    <row r="18" spans="1:13">
      <c r="A18" s="90" t="s">
        <v>177</v>
      </c>
      <c r="B18" s="19" t="s">
        <v>87</v>
      </c>
      <c r="C18" s="82">
        <f>Beitragsrechner!F29</f>
        <v>0</v>
      </c>
      <c r="D18" s="83"/>
      <c r="E18" s="84">
        <f>Beitragsrechner!F38</f>
        <v>0</v>
      </c>
      <c r="F18" s="85"/>
      <c r="G18" s="84">
        <f>Beitragsrechner!F47</f>
        <v>0</v>
      </c>
      <c r="H18" s="85"/>
      <c r="I18" s="84">
        <f>Beitragsrechner!F56</f>
        <v>0</v>
      </c>
      <c r="J18" s="85"/>
      <c r="K18" s="85">
        <f>Beitragsrechner!F65</f>
        <v>0</v>
      </c>
      <c r="L18" s="85"/>
      <c r="M18" s="62"/>
    </row>
    <row r="19" spans="1:13">
      <c r="A19" s="18" t="s">
        <v>107</v>
      </c>
      <c r="B19" s="19" t="s">
        <v>108</v>
      </c>
      <c r="C19" s="86">
        <f>Beitragsrechner!AC25/5</f>
        <v>0</v>
      </c>
      <c r="D19" s="87"/>
      <c r="E19" s="88">
        <f>Beitragsrechner!AC36/5</f>
        <v>0</v>
      </c>
      <c r="F19" s="89"/>
      <c r="G19" s="88">
        <f>Beitragsrechner!AC45/5</f>
        <v>0</v>
      </c>
      <c r="H19" s="89"/>
      <c r="I19" s="88">
        <f>Beitragsrechner!AC54/5</f>
        <v>0</v>
      </c>
      <c r="J19" s="89"/>
      <c r="K19" s="89">
        <f>Beitragsrechner!AC64/5</f>
        <v>0</v>
      </c>
      <c r="L19" s="89"/>
      <c r="M19" s="25" t="s">
        <v>178</v>
      </c>
    </row>
    <row r="20" spans="1:13">
      <c r="A20" s="18" t="s">
        <v>110</v>
      </c>
      <c r="B20" s="19" t="s">
        <v>87</v>
      </c>
      <c r="C20" s="82">
        <f>'Berechnung Einkommen'!E27</f>
        <v>0</v>
      </c>
      <c r="D20" s="83"/>
      <c r="E20" s="84">
        <f>'Berechnung Einkommen'!E27</f>
        <v>0</v>
      </c>
      <c r="F20" s="85"/>
      <c r="G20" s="84">
        <f>'Berechnung Einkommen'!E27</f>
        <v>0</v>
      </c>
      <c r="H20" s="85"/>
      <c r="I20" s="84">
        <f>'Berechnung Einkommen'!E27</f>
        <v>0</v>
      </c>
      <c r="J20" s="85"/>
      <c r="K20" s="85">
        <f>'Berechnung Einkommen'!E27</f>
        <v>0</v>
      </c>
      <c r="L20" s="85"/>
      <c r="M20" s="25"/>
    </row>
    <row r="21" spans="1:13">
      <c r="A21" s="18" t="s">
        <v>111</v>
      </c>
      <c r="B21" s="19" t="s">
        <v>112</v>
      </c>
      <c r="C21" s="82" t="e">
        <f>Beitragsrechner!J19-1</f>
        <v>#VALUE!</v>
      </c>
      <c r="D21" s="83"/>
      <c r="E21" s="84" t="e">
        <f>Beitragsrechner!J19-1</f>
        <v>#VALUE!</v>
      </c>
      <c r="F21" s="85"/>
      <c r="G21" s="84" t="e">
        <f>Beitragsrechner!J19-1</f>
        <v>#VALUE!</v>
      </c>
      <c r="H21" s="85"/>
      <c r="I21" s="84" t="e">
        <f>Beitragsrechner!J19-1</f>
        <v>#VALUE!</v>
      </c>
      <c r="J21" s="85"/>
      <c r="K21" s="85" t="e">
        <f>Beitragsrechner!J19-1</f>
        <v>#VALUE!</v>
      </c>
      <c r="L21" s="85"/>
      <c r="M21" s="25" t="s">
        <v>113</v>
      </c>
    </row>
    <row r="22" spans="1:13">
      <c r="A22" s="14"/>
      <c r="B22" s="19"/>
      <c r="C22" s="77"/>
      <c r="D22" s="13"/>
      <c r="E22" s="48"/>
      <c r="F22" s="1"/>
      <c r="G22" s="48"/>
      <c r="H22" s="1"/>
      <c r="I22" s="48"/>
      <c r="J22" s="13"/>
      <c r="K22" s="13"/>
      <c r="L22" s="13"/>
      <c r="M22" s="25"/>
    </row>
    <row r="23" spans="1:13">
      <c r="A23" s="15" t="s">
        <v>114</v>
      </c>
      <c r="B23" s="20"/>
      <c r="C23" s="2"/>
      <c r="D23" s="17"/>
      <c r="E23" s="47"/>
      <c r="F23" s="3"/>
      <c r="G23" s="47"/>
      <c r="H23" s="3"/>
      <c r="I23" s="47"/>
      <c r="J23" s="17"/>
      <c r="K23" s="17"/>
      <c r="L23" s="17"/>
      <c r="M23" s="25"/>
    </row>
    <row r="24" spans="1:13">
      <c r="A24" s="14" t="s">
        <v>115</v>
      </c>
      <c r="B24" s="19" t="s">
        <v>116</v>
      </c>
      <c r="C24" s="77">
        <f>C19*5</f>
        <v>0</v>
      </c>
      <c r="D24" s="13"/>
      <c r="E24" s="48">
        <f>E19*5</f>
        <v>0</v>
      </c>
      <c r="G24" s="48">
        <f>G19*5</f>
        <v>0</v>
      </c>
      <c r="I24" s="48">
        <f>I19*5</f>
        <v>0</v>
      </c>
      <c r="J24" s="48"/>
      <c r="K24" s="48">
        <f t="shared" ref="K24" si="0">K19*5</f>
        <v>0</v>
      </c>
      <c r="M24" s="25" t="s">
        <v>117</v>
      </c>
    </row>
    <row r="25" spans="1:13">
      <c r="A25" s="14" t="s">
        <v>118</v>
      </c>
      <c r="B25" s="19" t="s">
        <v>116</v>
      </c>
      <c r="C25" s="77">
        <f>4*C24</f>
        <v>0</v>
      </c>
      <c r="D25" s="13"/>
      <c r="E25" s="77">
        <f>4*E24</f>
        <v>0</v>
      </c>
      <c r="G25" s="77">
        <f>4*G24</f>
        <v>0</v>
      </c>
      <c r="I25" s="77">
        <f>4*I24</f>
        <v>0</v>
      </c>
      <c r="J25" s="48"/>
      <c r="K25" s="77">
        <f>4*K24</f>
        <v>0</v>
      </c>
      <c r="M25" s="25" t="s">
        <v>179</v>
      </c>
    </row>
    <row r="26" spans="1:13">
      <c r="A26" s="14"/>
      <c r="B26" s="19"/>
      <c r="C26" s="77"/>
      <c r="D26" s="13"/>
      <c r="E26" s="48"/>
      <c r="F26" s="1"/>
      <c r="G26" s="48"/>
      <c r="H26" s="1"/>
      <c r="I26" s="48"/>
      <c r="J26" s="13"/>
      <c r="K26" s="13"/>
      <c r="L26" s="13"/>
      <c r="M26" s="25"/>
    </row>
    <row r="27" spans="1:13">
      <c r="A27" s="15" t="s">
        <v>120</v>
      </c>
      <c r="B27" s="20"/>
      <c r="C27" s="2"/>
      <c r="D27" s="17"/>
      <c r="E27" s="47"/>
      <c r="F27" s="3"/>
      <c r="G27" s="47"/>
      <c r="H27" s="3"/>
      <c r="I27" s="47"/>
      <c r="J27" s="17"/>
      <c r="K27" s="17"/>
      <c r="L27" s="17"/>
      <c r="M27" s="25"/>
    </row>
    <row r="28" spans="1:13">
      <c r="A28" s="14" t="s">
        <v>121</v>
      </c>
      <c r="B28" s="19" t="s">
        <v>108</v>
      </c>
      <c r="C28" s="78" t="e">
        <f>C21*10%</f>
        <v>#VALUE!</v>
      </c>
      <c r="D28" s="70"/>
      <c r="E28" s="49" t="e">
        <f>E21*10%</f>
        <v>#VALUE!</v>
      </c>
      <c r="F28" s="44"/>
      <c r="G28" s="49" t="e">
        <f>G21*10%</f>
        <v>#VALUE!</v>
      </c>
      <c r="H28" s="44"/>
      <c r="I28" s="49" t="e">
        <f>I21*10%</f>
        <v>#VALUE!</v>
      </c>
      <c r="J28" s="49"/>
      <c r="K28" s="49" t="e">
        <f t="shared" ref="K28" si="1">K21*10%</f>
        <v>#VALUE!</v>
      </c>
      <c r="L28" s="44"/>
      <c r="M28" s="25"/>
    </row>
    <row r="29" spans="1:13">
      <c r="A29" s="14"/>
      <c r="B29" s="19"/>
      <c r="C29" s="77"/>
      <c r="D29" s="13"/>
      <c r="E29" s="48"/>
      <c r="F29" s="1"/>
      <c r="G29" s="48"/>
      <c r="H29" s="1"/>
      <c r="I29" s="48"/>
      <c r="J29" s="13"/>
      <c r="K29" s="13"/>
      <c r="L29" s="13"/>
      <c r="M29" s="25"/>
    </row>
    <row r="30" spans="1:13">
      <c r="A30" s="15" t="s">
        <v>122</v>
      </c>
      <c r="B30" s="20"/>
      <c r="C30" s="2"/>
      <c r="D30" s="17"/>
      <c r="E30" s="47"/>
      <c r="F30" s="3"/>
      <c r="G30" s="47"/>
      <c r="H30" s="3"/>
      <c r="I30" s="47"/>
      <c r="J30" s="17"/>
      <c r="K30" s="17"/>
      <c r="L30" s="17"/>
      <c r="M30" s="25"/>
    </row>
    <row r="31" spans="1:13">
      <c r="A31" s="14" t="s">
        <v>123</v>
      </c>
      <c r="B31" s="19" t="s">
        <v>87</v>
      </c>
      <c r="C31" s="77">
        <f>$C$9</f>
        <v>17</v>
      </c>
      <c r="D31" s="13"/>
      <c r="E31" s="77">
        <f>$C$9</f>
        <v>17</v>
      </c>
      <c r="F31" s="13"/>
      <c r="G31" s="77">
        <f t="shared" ref="G31" si="2">$C$9</f>
        <v>17</v>
      </c>
      <c r="H31" s="13"/>
      <c r="I31" s="77">
        <f t="shared" ref="I31:K31" si="3">$C$9</f>
        <v>17</v>
      </c>
      <c r="J31" s="77"/>
      <c r="K31" s="77">
        <f t="shared" si="3"/>
        <v>17</v>
      </c>
      <c r="L31" s="13"/>
      <c r="M31" s="25" t="s">
        <v>124</v>
      </c>
    </row>
    <row r="32" spans="1:13">
      <c r="A32" s="14" t="s">
        <v>31</v>
      </c>
      <c r="B32" s="19" t="s">
        <v>87</v>
      </c>
      <c r="C32" s="91">
        <f>C18</f>
        <v>0</v>
      </c>
      <c r="D32" s="13"/>
      <c r="E32" s="91">
        <f>E18</f>
        <v>0</v>
      </c>
      <c r="F32" s="13"/>
      <c r="G32" s="91">
        <f>G18</f>
        <v>0</v>
      </c>
      <c r="H32" s="13"/>
      <c r="I32" s="91">
        <f>I18</f>
        <v>0</v>
      </c>
      <c r="J32" s="91"/>
      <c r="K32" s="91">
        <f>K18</f>
        <v>0</v>
      </c>
      <c r="L32" s="13"/>
      <c r="M32" s="25" t="s">
        <v>180</v>
      </c>
    </row>
    <row r="33" spans="1:13">
      <c r="A33" s="14" t="s">
        <v>125</v>
      </c>
      <c r="B33" s="19" t="s">
        <v>87</v>
      </c>
      <c r="C33" s="79">
        <f>MIN(C31,C32)</f>
        <v>0</v>
      </c>
      <c r="D33" s="71"/>
      <c r="E33" s="79">
        <f>MIN(E31,E32)</f>
        <v>0</v>
      </c>
      <c r="F33" s="71"/>
      <c r="G33" s="79">
        <f>MIN(G31,G32)</f>
        <v>0</v>
      </c>
      <c r="H33" s="71"/>
      <c r="I33" s="79">
        <f>MIN(I31,I32)</f>
        <v>0</v>
      </c>
      <c r="J33" s="79"/>
      <c r="K33" s="79">
        <f>MIN(K31,K32)</f>
        <v>0</v>
      </c>
      <c r="L33" s="71"/>
      <c r="M33" s="25" t="s">
        <v>126</v>
      </c>
    </row>
    <row r="34" spans="1:13">
      <c r="A34" s="14"/>
      <c r="B34" s="19"/>
      <c r="C34" s="77"/>
      <c r="D34" s="13"/>
      <c r="E34" s="77"/>
      <c r="F34" s="13"/>
      <c r="G34" s="77"/>
      <c r="H34" s="13"/>
      <c r="I34" s="77"/>
      <c r="J34" s="13"/>
      <c r="K34" s="13"/>
      <c r="L34" s="13"/>
      <c r="M34" s="25"/>
    </row>
    <row r="35" spans="1:13">
      <c r="A35" s="15" t="s">
        <v>127</v>
      </c>
      <c r="B35" s="20"/>
      <c r="C35" s="2"/>
      <c r="D35" s="17"/>
      <c r="E35" s="2"/>
      <c r="F35" s="17"/>
      <c r="G35" s="2"/>
      <c r="H35" s="17"/>
      <c r="I35" s="2"/>
      <c r="J35" s="17"/>
      <c r="K35" s="17"/>
      <c r="L35" s="17"/>
      <c r="M35" s="25"/>
    </row>
    <row r="36" spans="1:13">
      <c r="A36" s="14" t="s">
        <v>128</v>
      </c>
      <c r="B36" s="19" t="s">
        <v>108</v>
      </c>
      <c r="C36" s="80" t="e">
        <f>$C$11/C31*(1-C28)</f>
        <v>#VALUE!</v>
      </c>
      <c r="D36" s="80"/>
      <c r="E36" s="80" t="e">
        <f>$C$11/E31*(1-E28)</f>
        <v>#VALUE!</v>
      </c>
      <c r="F36" s="80"/>
      <c r="G36" s="80" t="e">
        <f>$C$11/G31*(1-G28)</f>
        <v>#VALUE!</v>
      </c>
      <c r="H36" s="80"/>
      <c r="I36" s="80" t="e">
        <f>$C$11/I31*(1-I28)</f>
        <v>#VALUE!</v>
      </c>
      <c r="J36" s="80"/>
      <c r="K36" s="80" t="e">
        <f>$C$11/K31*(1-K28)</f>
        <v>#VALUE!</v>
      </c>
      <c r="L36" s="72"/>
      <c r="M36" s="26" t="s">
        <v>129</v>
      </c>
    </row>
    <row r="37" spans="1:13">
      <c r="A37" s="14" t="s">
        <v>130</v>
      </c>
      <c r="B37" s="19" t="s">
        <v>108</v>
      </c>
      <c r="C37" s="81" t="e">
        <f>(1-C36)/($C$6-$C$5)</f>
        <v>#VALUE!</v>
      </c>
      <c r="D37" s="73"/>
      <c r="E37" s="81" t="e">
        <f t="shared" ref="E37" si="4">(1-E36)/($C$6-$C$5)</f>
        <v>#VALUE!</v>
      </c>
      <c r="F37" s="73"/>
      <c r="G37" s="81" t="e">
        <f t="shared" ref="G37" si="5">(1-G36)/($C$6-$C$5)</f>
        <v>#VALUE!</v>
      </c>
      <c r="H37" s="73"/>
      <c r="I37" s="81" t="e">
        <f t="shared" ref="I37:K37" si="6">(1-I36)/($C$6-$C$5)</f>
        <v>#VALUE!</v>
      </c>
      <c r="J37" s="81"/>
      <c r="K37" s="81" t="e">
        <f t="shared" si="6"/>
        <v>#VALUE!</v>
      </c>
      <c r="L37" s="73"/>
      <c r="M37" s="27" t="s">
        <v>131</v>
      </c>
    </row>
    <row r="38" spans="1:13">
      <c r="A38" s="14"/>
      <c r="B38" s="19"/>
      <c r="C38" s="81"/>
      <c r="D38" s="73"/>
      <c r="E38" s="81"/>
      <c r="F38" s="73"/>
      <c r="G38" s="81"/>
      <c r="H38" s="73"/>
      <c r="I38" s="81"/>
      <c r="J38" s="73"/>
      <c r="K38" s="73"/>
      <c r="L38" s="73"/>
      <c r="M38" s="29"/>
    </row>
    <row r="39" spans="1:13">
      <c r="A39" s="15" t="s">
        <v>132</v>
      </c>
      <c r="B39" s="20"/>
      <c r="C39" s="2"/>
      <c r="D39" s="17"/>
      <c r="E39" s="2"/>
      <c r="F39" s="17"/>
      <c r="G39" s="2"/>
      <c r="H39" s="17"/>
      <c r="I39" s="2"/>
      <c r="J39" s="17"/>
      <c r="K39" s="17"/>
      <c r="L39" s="17"/>
      <c r="M39" s="25"/>
    </row>
    <row r="40" spans="1:13">
      <c r="A40" s="14" t="s">
        <v>133</v>
      </c>
      <c r="B40" s="19" t="s">
        <v>108</v>
      </c>
      <c r="C40" s="80" t="e">
        <f>IF(MIN(C36+C37*(C20-$C$5),1)&lt;0,0,MIN(C36+C37*(C20-$C$5),1))</f>
        <v>#VALUE!</v>
      </c>
      <c r="D40" s="72"/>
      <c r="E40" s="80" t="e">
        <f>IF(MIN(E36+E37*(E20-$C$5),1)&lt;0,0,MIN(E36+E37*(E20-$C$5),1))</f>
        <v>#VALUE!</v>
      </c>
      <c r="F40" s="72"/>
      <c r="G40" s="80" t="e">
        <f t="shared" ref="G40" si="7">IF(MIN(G36+G37*(G20-$C$5),1)&lt;0,0,MIN(G36+G37*(G20-$C$5),1))</f>
        <v>#VALUE!</v>
      </c>
      <c r="H40" s="72"/>
      <c r="I40" s="80" t="e">
        <f t="shared" ref="I40:K40" si="8">IF(MIN(I36+I37*(I20-$C$5),1)&lt;0,0,MIN(I36+I37*(I20-$C$5),1))</f>
        <v>#VALUE!</v>
      </c>
      <c r="J40" s="80"/>
      <c r="K40" s="80" t="e">
        <f t="shared" si="8"/>
        <v>#VALUE!</v>
      </c>
      <c r="L40" s="72"/>
      <c r="M40" s="30" t="s">
        <v>134</v>
      </c>
    </row>
    <row r="41" spans="1:13">
      <c r="A41" s="14" t="s">
        <v>135</v>
      </c>
      <c r="B41" s="19" t="s">
        <v>87</v>
      </c>
      <c r="C41" s="67" t="e">
        <f>C33*C40</f>
        <v>#VALUE!</v>
      </c>
      <c r="D41" s="71"/>
      <c r="E41" s="67" t="e">
        <f t="shared" ref="E41" si="9">E33*E40</f>
        <v>#VALUE!</v>
      </c>
      <c r="F41" s="71"/>
      <c r="G41" s="67" t="e">
        <f t="shared" ref="G41" si="10">G33*G40</f>
        <v>#VALUE!</v>
      </c>
      <c r="H41" s="71"/>
      <c r="I41" s="67" t="e">
        <f t="shared" ref="I41:K41" si="11">I33*I40</f>
        <v>#VALUE!</v>
      </c>
      <c r="J41" s="67"/>
      <c r="K41" s="67" t="e">
        <f t="shared" si="11"/>
        <v>#VALUE!</v>
      </c>
      <c r="L41" s="71"/>
      <c r="M41" s="29" t="s">
        <v>136</v>
      </c>
    </row>
    <row r="42" spans="1:13">
      <c r="A42" s="14"/>
      <c r="B42" s="19"/>
      <c r="C42" s="81"/>
      <c r="D42" s="73"/>
      <c r="E42" s="81"/>
      <c r="F42" s="73"/>
      <c r="G42" s="81"/>
      <c r="H42" s="73"/>
      <c r="I42" s="81"/>
      <c r="J42" s="73"/>
      <c r="K42" s="73"/>
      <c r="L42" s="73"/>
      <c r="M42" s="27"/>
    </row>
    <row r="43" spans="1:13">
      <c r="A43" s="15" t="s">
        <v>137</v>
      </c>
      <c r="B43" s="20"/>
      <c r="C43" s="2"/>
      <c r="D43" s="17"/>
      <c r="E43" s="2"/>
      <c r="F43" s="17"/>
      <c r="G43" s="2"/>
      <c r="H43" s="17"/>
      <c r="I43" s="2"/>
      <c r="J43" s="17"/>
      <c r="K43" s="17"/>
      <c r="L43" s="17"/>
      <c r="M43" s="25"/>
    </row>
    <row r="44" spans="1:13">
      <c r="A44" s="42" t="s">
        <v>181</v>
      </c>
      <c r="B44" s="19" t="s">
        <v>87</v>
      </c>
      <c r="C44" s="68">
        <f>IF(Beitragsrechner!F23="NUR Mittagstisch",C33*(1-C40),0)</f>
        <v>0</v>
      </c>
      <c r="D44" s="74"/>
      <c r="E44" s="68">
        <f>IF(Beitragsrechner!F32="NUR Mittagstisch",E33*(1-E40),0)</f>
        <v>0</v>
      </c>
      <c r="F44" s="74"/>
      <c r="G44" s="68">
        <f>IF(Beitragsrechner!F41="NUR Mittagtisch",G33*(1-G40),0)</f>
        <v>0</v>
      </c>
      <c r="H44" s="74"/>
      <c r="I44" s="68">
        <f>IF(Beitragsrechner!F50="NUR Mittagstisch",I33*(1-I40),0)</f>
        <v>0</v>
      </c>
      <c r="J44" s="68"/>
      <c r="K44" s="68">
        <f>IF(Beitragsrechner!F59="NUR Mittagstisch",K33*(1-K40),0)</f>
        <v>0</v>
      </c>
      <c r="L44" s="74"/>
      <c r="M44" s="28" t="s">
        <v>139</v>
      </c>
    </row>
    <row r="45" spans="1:13">
      <c r="A45" t="s">
        <v>182</v>
      </c>
      <c r="B45" s="19" t="s">
        <v>87</v>
      </c>
      <c r="C45" s="67" t="e">
        <f>IF(C28&gt;0,MAX($C$11*(C28-1)*-1-C41,0),MAX($C$11-C41,0))</f>
        <v>#VALUE!</v>
      </c>
      <c r="D45" s="75"/>
      <c r="E45" s="67" t="e">
        <f>IF(E28&gt;0,MAX($C$11*(E28-1)*-1-E41,0),MAX($C$11-E41,0))</f>
        <v>#VALUE!</v>
      </c>
      <c r="F45" s="75"/>
      <c r="G45" s="67" t="e">
        <f>IF(G28&gt;0,MAX($C$11*(G28-1)*-1-G41,0),MAX($C$11-G41,0))</f>
        <v>#VALUE!</v>
      </c>
      <c r="H45" s="75"/>
      <c r="I45" s="67" t="e">
        <f>IF(I28&gt;0,MAX($C$11*(I28-1)*-1-I41,0),MAX($C$11-I41,0))</f>
        <v>#VALUE!</v>
      </c>
      <c r="J45" s="67"/>
      <c r="K45" s="67" t="e">
        <f>IF(K28&gt;0,MAX($C$11*(K28-1)*-1-K41,0),MAX($C$11-K41,0))</f>
        <v>#VALUE!</v>
      </c>
      <c r="L45" s="75"/>
      <c r="M45" s="56"/>
    </row>
    <row r="46" spans="1:13">
      <c r="A46" s="54" t="s">
        <v>142</v>
      </c>
      <c r="B46" s="55" t="s">
        <v>87</v>
      </c>
      <c r="C46" s="69" t="e">
        <f>MAX(C44-C45,0)</f>
        <v>#VALUE!</v>
      </c>
      <c r="D46" s="74"/>
      <c r="E46" s="69" t="e">
        <f>MAX(E44-E45,0)</f>
        <v>#VALUE!</v>
      </c>
      <c r="F46" s="74"/>
      <c r="G46" s="69" t="e">
        <f t="shared" ref="G46" si="12">MAX(G44-G45,0)</f>
        <v>#VALUE!</v>
      </c>
      <c r="H46" s="74"/>
      <c r="I46" s="69" t="e">
        <f t="shared" ref="I46:K46" si="13">MAX(I44-I45,0)</f>
        <v>#VALUE!</v>
      </c>
      <c r="J46" s="69"/>
      <c r="K46" s="69" t="e">
        <f t="shared" si="13"/>
        <v>#VALUE!</v>
      </c>
      <c r="L46" s="74"/>
      <c r="M46" s="56" t="s">
        <v>143</v>
      </c>
    </row>
    <row r="47" spans="1:13">
      <c r="A47" t="s">
        <v>144</v>
      </c>
      <c r="B47" s="19" t="s">
        <v>87</v>
      </c>
      <c r="C47" s="67" t="e">
        <f>C46*C25</f>
        <v>#VALUE!</v>
      </c>
      <c r="D47" s="76"/>
      <c r="E47" s="67" t="e">
        <f t="shared" ref="E47" si="14">E46*E25</f>
        <v>#VALUE!</v>
      </c>
      <c r="F47" s="76"/>
      <c r="G47" s="67" t="e">
        <f t="shared" ref="G47" si="15">G46*G25</f>
        <v>#VALUE!</v>
      </c>
      <c r="H47" s="76"/>
      <c r="I47" s="67" t="e">
        <f t="shared" ref="I47:K47" si="16">I46*I25</f>
        <v>#VALUE!</v>
      </c>
      <c r="J47" s="67"/>
      <c r="K47" s="67" t="e">
        <f t="shared" si="16"/>
        <v>#VALUE!</v>
      </c>
      <c r="L47" s="76"/>
      <c r="M47" s="57" t="s">
        <v>145</v>
      </c>
    </row>
    <row r="48" spans="1:13">
      <c r="A48" t="s">
        <v>183</v>
      </c>
      <c r="B48" s="19" t="s">
        <v>87</v>
      </c>
      <c r="C48" s="93">
        <f>IF(Beitragsrechner!F23="NUR Mittagstisch",C25*(C18-C46),0)</f>
        <v>0</v>
      </c>
      <c r="D48" s="22"/>
      <c r="E48" s="93">
        <f>IF(Beitragsrechner!F32="NUR Mittagstisch",E25*(E18-E46),0)</f>
        <v>0</v>
      </c>
      <c r="F48" s="93"/>
      <c r="G48" s="93">
        <f>IF(Beitragsrechner!F41="NUR Mittagtisch",G25*(G18-G46),0)</f>
        <v>0</v>
      </c>
      <c r="H48" s="93"/>
      <c r="I48" s="93">
        <f>IF(Beitragsrechner!F50="NUR Mittagstisch",I25*(I18-I46),0)</f>
        <v>0</v>
      </c>
      <c r="J48" s="93"/>
      <c r="K48" s="93">
        <f>IF(Beitragsrechner!F59="NUR Mittagstisch",K25*(K18-K46),0)</f>
        <v>0</v>
      </c>
      <c r="L48" s="22"/>
      <c r="M48" s="94"/>
    </row>
    <row r="49" spans="1:13">
      <c r="A49" s="10"/>
      <c r="B49" s="52"/>
      <c r="C49" s="65"/>
      <c r="D49" s="19"/>
      <c r="E49" s="53"/>
      <c r="F49" s="53"/>
      <c r="G49" s="53"/>
      <c r="H49" s="53"/>
      <c r="I49" s="53"/>
      <c r="J49" s="45"/>
      <c r="K49" s="45"/>
      <c r="L49" s="45"/>
      <c r="M49"/>
    </row>
    <row r="50" spans="1:13">
      <c r="B50" s="19"/>
      <c r="C50" s="19"/>
      <c r="D50" s="19"/>
      <c r="E50" s="43"/>
      <c r="F50" s="43"/>
      <c r="G50" s="43"/>
      <c r="H50" s="43"/>
      <c r="I50" s="43"/>
      <c r="J50" s="45"/>
      <c r="K50" s="45"/>
      <c r="L50" s="45"/>
      <c r="M50"/>
    </row>
    <row r="51" spans="1:13">
      <c r="I51" s="43"/>
    </row>
  </sheetData>
  <pageMargins left="0.7" right="0.7" top="0.78740157499999996" bottom="0.78740157499999996" header="0.3" footer="0.3"/>
  <pageSetup paperSize="9" scale="6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30"/>
  <sheetViews>
    <sheetView workbookViewId="0">
      <selection activeCell="G37" sqref="G37"/>
    </sheetView>
  </sheetViews>
  <sheetFormatPr defaultColWidth="11.42578125" defaultRowHeight="12.75"/>
  <cols>
    <col min="1" max="1" width="21.5703125" bestFit="1" customWidth="1"/>
    <col min="2" max="2" width="15.5703125" customWidth="1"/>
  </cols>
  <sheetData>
    <row r="2" spans="1:2">
      <c r="A2" t="s">
        <v>184</v>
      </c>
      <c r="B2" t="s">
        <v>185</v>
      </c>
    </row>
    <row r="4" spans="1:2">
      <c r="A4" t="s">
        <v>0</v>
      </c>
      <c r="B4" t="s">
        <v>186</v>
      </c>
    </row>
    <row r="5" spans="1:2">
      <c r="A5" t="s">
        <v>0</v>
      </c>
      <c r="B5" t="s">
        <v>187</v>
      </c>
    </row>
    <row r="6" spans="1:2">
      <c r="A6" t="s">
        <v>0</v>
      </c>
      <c r="B6" t="s">
        <v>188</v>
      </c>
    </row>
    <row r="9" spans="1:2">
      <c r="A9" t="s">
        <v>189</v>
      </c>
      <c r="B9" t="s">
        <v>190</v>
      </c>
    </row>
    <row r="10" spans="1:2">
      <c r="A10" t="s">
        <v>189</v>
      </c>
      <c r="B10" t="s">
        <v>191</v>
      </c>
    </row>
    <row r="12" spans="1:2">
      <c r="A12" t="s">
        <v>192</v>
      </c>
      <c r="B12" t="s">
        <v>193</v>
      </c>
    </row>
    <row r="13" spans="1:2">
      <c r="A13" t="s">
        <v>192</v>
      </c>
      <c r="B13" t="s">
        <v>194</v>
      </c>
    </row>
    <row r="18" spans="1:2">
      <c r="A18" s="99" t="s">
        <v>195</v>
      </c>
    </row>
    <row r="19" spans="1:2">
      <c r="A19" t="s">
        <v>196</v>
      </c>
      <c r="B19" t="s">
        <v>197</v>
      </c>
    </row>
    <row r="20" spans="1:2">
      <c r="B20" t="s">
        <v>198</v>
      </c>
    </row>
    <row r="26" spans="1:2">
      <c r="A26" t="s">
        <v>199</v>
      </c>
    </row>
    <row r="27" spans="1:2">
      <c r="A27" t="s">
        <v>200</v>
      </c>
    </row>
    <row r="28" spans="1:2">
      <c r="A28" t="s">
        <v>201</v>
      </c>
    </row>
    <row r="29" spans="1:2">
      <c r="A29" s="98" t="s">
        <v>202</v>
      </c>
    </row>
    <row r="30" spans="1:2">
      <c r="A30" t="s">
        <v>203</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3276589E4DD3244805DFD77C66FC028" ma:contentTypeVersion="12" ma:contentTypeDescription="Ein neues Dokument erstellen." ma:contentTypeScope="" ma:versionID="747b29f9096555bb7a6a630bef80dbf3">
  <xsd:schema xmlns:xsd="http://www.w3.org/2001/XMLSchema" xmlns:xs="http://www.w3.org/2001/XMLSchema" xmlns:p="http://schemas.microsoft.com/office/2006/metadata/properties" xmlns:ns2="e75f3433-8aaf-490c-ac14-ce7c4a59cc8d" xmlns:ns3="55df0d9a-b115-40a4-96c1-9261dc1f94e8" targetNamespace="http://schemas.microsoft.com/office/2006/metadata/properties" ma:root="true" ma:fieldsID="f57a59ed85bee49fb68b37b08f736b08" ns2:_="" ns3:_="">
    <xsd:import namespace="e75f3433-8aaf-490c-ac14-ce7c4a59cc8d"/>
    <xsd:import namespace="55df0d9a-b115-40a4-96c1-9261dc1f94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5f3433-8aaf-490c-ac14-ce7c4a59cc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50a6da6f-5015-4d01-9cd4-c21afb5d42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df0d9a-b115-40a4-96c1-9261dc1f94e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00add4a-7367-4294-b1be-48b13e0a2d2c}" ma:internalName="TaxCatchAll" ma:showField="CatchAllData" ma:web="55df0d9a-b115-40a4-96c1-9261dc1f94e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5df0d9a-b115-40a4-96c1-9261dc1f94e8" xsi:nil="true"/>
    <lcf76f155ced4ddcb4097134ff3c332f xmlns="e75f3433-8aaf-490c-ac14-ce7c4a59cc8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464FD0-A5EF-476C-B300-42A384B80350}"/>
</file>

<file path=customXml/itemProps2.xml><?xml version="1.0" encoding="utf-8"?>
<ds:datastoreItem xmlns:ds="http://schemas.openxmlformats.org/officeDocument/2006/customXml" ds:itemID="{2499B0FC-FBA5-42DC-96EF-7247A4C81FE5}"/>
</file>

<file path=customXml/itemProps3.xml><?xml version="1.0" encoding="utf-8"?>
<ds:datastoreItem xmlns:ds="http://schemas.openxmlformats.org/officeDocument/2006/customXml" ds:itemID="{7864838B-8D57-4066-96FF-6A6B07F72729}"/>
</file>

<file path=docMetadata/LabelInfo.xml><?xml version="1.0" encoding="utf-8"?>
<clbl:labelList xmlns:clbl="http://schemas.microsoft.com/office/2020/mipLabelMetadata">
  <clbl:label id="{4a6500c8-aece-4f95-9ff4-aa2f25229e5c}" enabled="0" method="" siteId="{4a6500c8-aece-4f95-9ff4-aa2f25229e5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Stadt Luzern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Eggerschwiler Simone</dc:creator>
  <cp:keywords/>
  <dc:description/>
  <cp:lastModifiedBy>Manuel Meierhofer</cp:lastModifiedBy>
  <cp:revision/>
  <dcterms:created xsi:type="dcterms:W3CDTF">2017-04-25T13:52:15Z</dcterms:created>
  <dcterms:modified xsi:type="dcterms:W3CDTF">2026-08-25T07:39:50Z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96 96 1920 1080</vt:lpwstr>
  </property>
  <property fmtid="{D5CDD505-2E9C-101B-9397-08002B2CF9AE}" pid="3" name="ContentTypeId">
    <vt:lpwstr>0x010100D3276589E4DD3244805DFD77C66FC028</vt:lpwstr>
  </property>
  <property fmtid="{D5CDD505-2E9C-101B-9397-08002B2CF9AE}" pid="4" name="MediaServiceImageTags">
    <vt:lpwstr/>
  </property>
</Properties>
</file>